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Site/Atual/Arquivos Atualizar Excel/"/>
    </mc:Choice>
  </mc:AlternateContent>
  <xr:revisionPtr revIDLastSave="137" documentId="13_ncr:1_{9DD91F2B-C60F-4FC6-AE50-A783473DD09D}" xr6:coauthVersionLast="47" xr6:coauthVersionMax="47" xr10:uidLastSave="{C54E8044-AFF3-49C3-B898-4EE0EE7FAFA9}"/>
  <bookViews>
    <workbookView xWindow="-110" yWindow="-110" windowWidth="19420" windowHeight="10300" xr2:uid="{00000000-000D-0000-FFFF-FFFF00000000}"/>
  </bookViews>
  <sheets>
    <sheet name="EBITDA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" i="2" l="1"/>
  <c r="O29" i="2"/>
  <c r="M29" i="2"/>
  <c r="M30" i="2" s="1"/>
  <c r="I29" i="2"/>
  <c r="I30" i="2" s="1"/>
  <c r="E29" i="2"/>
  <c r="E30" i="2" s="1"/>
  <c r="BF28" i="2"/>
  <c r="BD28" i="2"/>
  <c r="BB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P29" i="2" s="1"/>
  <c r="P30" i="2" s="1"/>
  <c r="O28" i="2"/>
  <c r="N28" i="2"/>
  <c r="N29" i="2" s="1"/>
  <c r="N30" i="2" s="1"/>
  <c r="M28" i="2"/>
  <c r="L28" i="2"/>
  <c r="L29" i="2" s="1"/>
  <c r="L30" i="2" s="1"/>
  <c r="I28" i="2"/>
  <c r="H28" i="2"/>
  <c r="H29" i="2" s="1"/>
  <c r="H30" i="2" s="1"/>
  <c r="G28" i="2"/>
  <c r="F28" i="2"/>
  <c r="F29" i="2" s="1"/>
  <c r="F30" i="2" s="1"/>
  <c r="E28" i="2"/>
  <c r="D28" i="2"/>
  <c r="D29" i="2" s="1"/>
  <c r="D30" i="2" s="1"/>
  <c r="C28" i="2"/>
  <c r="C29" i="2" s="1"/>
  <c r="C30" i="2" s="1"/>
  <c r="B28" i="2"/>
  <c r="B29" i="2" s="1"/>
  <c r="B30" i="2" s="1"/>
  <c r="CC21" i="2"/>
  <c r="CC20" i="2"/>
  <c r="BV20" i="2"/>
  <c r="CC19" i="2"/>
  <c r="BI18" i="2"/>
  <c r="BI28" i="2" s="1"/>
  <c r="BH18" i="2"/>
  <c r="BH28" i="2" s="1"/>
  <c r="BG18" i="2"/>
  <c r="BG28" i="2" s="1"/>
  <c r="BF18" i="2"/>
  <c r="BE18" i="2"/>
  <c r="BE28" i="2" s="1"/>
  <c r="BD18" i="2"/>
  <c r="BC18" i="2"/>
  <c r="BC28" i="2" s="1"/>
  <c r="BB18" i="2"/>
  <c r="BA18" i="2"/>
  <c r="BA28" i="2" s="1"/>
  <c r="AZ18" i="2"/>
  <c r="AZ28" i="2" s="1"/>
  <c r="CC17" i="2"/>
  <c r="CA16" i="2"/>
  <c r="CC16" i="2" s="1"/>
  <c r="BY16" i="2"/>
  <c r="BR16" i="2"/>
  <c r="BT16" i="2" s="1"/>
  <c r="BV16" i="2" s="1"/>
  <c r="BM16" i="2"/>
  <c r="BO16" i="2" s="1"/>
  <c r="CD15" i="2"/>
  <c r="CD18" i="2" s="1"/>
  <c r="CD28" i="2" s="1"/>
  <c r="CD29" i="2" s="1"/>
  <c r="CC15" i="2"/>
  <c r="CA15" i="2"/>
  <c r="CA18" i="2" s="1"/>
  <c r="BY15" i="2"/>
  <c r="BY18" i="2" s="1"/>
  <c r="BV15" i="2"/>
  <c r="BV18" i="2" s="1"/>
  <c r="BU15" i="2"/>
  <c r="BU18" i="2" s="1"/>
  <c r="BU28" i="2" s="1"/>
  <c r="BU29" i="2" s="1"/>
  <c r="BU30" i="2" s="1"/>
  <c r="BS15" i="2"/>
  <c r="BS18" i="2" s="1"/>
  <c r="BS28" i="2" s="1"/>
  <c r="BS29" i="2" s="1"/>
  <c r="BS30" i="2" s="1"/>
  <c r="BQ15" i="2"/>
  <c r="BQ18" i="2" s="1"/>
  <c r="BQ28" i="2" s="1"/>
  <c r="BQ29" i="2" s="1"/>
  <c r="BQ30" i="2" s="1"/>
  <c r="BN15" i="2"/>
  <c r="BN18" i="2" s="1"/>
  <c r="BN28" i="2" s="1"/>
  <c r="BN29" i="2" s="1"/>
  <c r="BN30" i="2" s="1"/>
  <c r="BK15" i="2"/>
  <c r="BK18" i="2" s="1"/>
  <c r="BK28" i="2" s="1"/>
  <c r="BK29" i="2" s="1"/>
  <c r="BK30" i="2" s="1"/>
  <c r="K15" i="2"/>
  <c r="K18" i="2" s="1"/>
  <c r="K28" i="2" s="1"/>
  <c r="K29" i="2" s="1"/>
  <c r="K30" i="2" s="1"/>
  <c r="J15" i="2"/>
  <c r="J18" i="2" s="1"/>
  <c r="J28" i="2" s="1"/>
  <c r="J29" i="2" s="1"/>
  <c r="J30" i="2" s="1"/>
  <c r="BM12" i="2"/>
  <c r="BO12" i="2" s="1"/>
  <c r="BO11" i="2"/>
  <c r="BM11" i="2"/>
  <c r="BO10" i="2"/>
  <c r="BM10" i="2"/>
  <c r="BO9" i="2"/>
  <c r="BM9" i="2"/>
  <c r="CD8" i="2"/>
  <c r="CC8" i="2"/>
  <c r="CB8" i="2"/>
  <c r="CB15" i="2" s="1"/>
  <c r="CB18" i="2" s="1"/>
  <c r="CB28" i="2" s="1"/>
  <c r="CB29" i="2" s="1"/>
  <c r="CB30" i="2" s="1"/>
  <c r="CA8" i="2"/>
  <c r="BZ8" i="2"/>
  <c r="BZ15" i="2" s="1"/>
  <c r="BZ18" i="2" s="1"/>
  <c r="BZ28" i="2" s="1"/>
  <c r="BZ29" i="2" s="1"/>
  <c r="BZ30" i="2" s="1"/>
  <c r="BY8" i="2"/>
  <c r="BX8" i="2"/>
  <c r="BX15" i="2" s="1"/>
  <c r="BX18" i="2" s="1"/>
  <c r="BX28" i="2" s="1"/>
  <c r="BX29" i="2" s="1"/>
  <c r="BX30" i="2" s="1"/>
  <c r="BW8" i="2"/>
  <c r="BW15" i="2" s="1"/>
  <c r="BW18" i="2" s="1"/>
  <c r="BW28" i="2" s="1"/>
  <c r="BV8" i="2"/>
  <c r="BU8" i="2"/>
  <c r="BT8" i="2"/>
  <c r="BT15" i="2" s="1"/>
  <c r="BT18" i="2" s="1"/>
  <c r="BS8" i="2"/>
  <c r="BR8" i="2"/>
  <c r="BR15" i="2" s="1"/>
  <c r="BR18" i="2" s="1"/>
  <c r="BQ8" i="2"/>
  <c r="BP8" i="2"/>
  <c r="BP15" i="2" s="1"/>
  <c r="BP18" i="2" s="1"/>
  <c r="BP28" i="2" s="1"/>
  <c r="BN8" i="2"/>
  <c r="BL8" i="2"/>
  <c r="BL15" i="2" s="1"/>
  <c r="BL18" i="2" s="1"/>
  <c r="BL28" i="2" s="1"/>
  <c r="BL29" i="2" s="1"/>
  <c r="BL30" i="2" s="1"/>
  <c r="BK8" i="2"/>
  <c r="BJ8" i="2"/>
  <c r="BJ15" i="2" s="1"/>
  <c r="BJ18" i="2" s="1"/>
  <c r="BJ28" i="2" s="1"/>
  <c r="BJ29" i="2" s="1"/>
  <c r="BM7" i="2"/>
  <c r="BO7" i="2" s="1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BM6" i="2"/>
  <c r="BO6" i="2" s="1"/>
  <c r="BM4" i="2"/>
  <c r="BO4" i="2" s="1"/>
  <c r="AY4" i="2"/>
  <c r="AX4" i="2"/>
  <c r="AW4" i="2"/>
  <c r="AV4" i="2"/>
  <c r="AU4" i="2"/>
  <c r="AT4" i="2"/>
  <c r="AS4" i="2"/>
  <c r="AR4" i="2"/>
  <c r="AR3" i="2" s="1"/>
  <c r="AQ4" i="2"/>
  <c r="AQ3" i="2" s="1"/>
  <c r="AP4" i="2"/>
  <c r="AP3" i="2" s="1"/>
  <c r="AO4" i="2"/>
  <c r="AN4" i="2"/>
  <c r="AM4" i="2"/>
  <c r="AM3" i="2" s="1"/>
  <c r="AL4" i="2"/>
  <c r="AL3" i="2" s="1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BM3" i="2"/>
  <c r="BO3" i="2" s="1"/>
  <c r="AS3" i="2"/>
  <c r="AO3" i="2"/>
  <c r="AN3" i="2"/>
  <c r="AK3" i="2"/>
  <c r="G3" i="2"/>
  <c r="G29" i="2" s="1"/>
  <c r="G30" i="2" s="1"/>
  <c r="E3" i="2"/>
  <c r="C3" i="2"/>
  <c r="B3" i="2"/>
  <c r="O30" i="2"/>
  <c r="Q30" i="2"/>
  <c r="BY28" i="2" l="1"/>
  <c r="BW29" i="2"/>
  <c r="BR28" i="2"/>
  <c r="BP29" i="2"/>
  <c r="CC18" i="2"/>
  <c r="BM8" i="2"/>
  <c r="BJ30" i="2"/>
  <c r="BO8" i="2" l="1"/>
  <c r="BO15" i="2" s="1"/>
  <c r="BO18" i="2" s="1"/>
  <c r="BM15" i="2"/>
  <c r="BM18" i="2" s="1"/>
  <c r="BM28" i="2" s="1"/>
  <c r="BR29" i="2"/>
  <c r="BT28" i="2"/>
  <c r="CA28" i="2"/>
  <c r="BY29" i="2"/>
  <c r="BW30" i="2"/>
  <c r="BP30" i="2"/>
  <c r="CA29" i="2" l="1"/>
  <c r="CC28" i="2"/>
  <c r="CC29" i="2" s="1"/>
  <c r="BT29" i="2"/>
  <c r="BV28" i="2"/>
  <c r="BV29" i="2" s="1"/>
  <c r="BM29" i="2"/>
  <c r="BM30" i="2" s="1"/>
  <c r="BO28" i="2"/>
  <c r="BO29" i="2" s="1"/>
  <c r="BY30" i="2"/>
  <c r="BO30" i="2"/>
  <c r="BR30" i="2"/>
  <c r="CA30" i="2" l="1"/>
  <c r="CC30" i="2"/>
  <c r="BV30" i="2"/>
  <c r="BT30" i="2"/>
  <c r="BR32" i="2" l="1"/>
  <c r="BT32" i="2" s="1"/>
  <c r="BP31" i="2" l="1"/>
  <c r="BK31" i="2"/>
  <c r="BN31" i="2"/>
  <c r="BL31" i="2"/>
  <c r="BW31" i="2" l="1"/>
  <c r="BQ31" i="2" l="1"/>
  <c r="BR31" i="2"/>
  <c r="BJ31" i="2"/>
  <c r="BS31" i="2" l="1"/>
  <c r="BT31" i="2"/>
  <c r="BM31" i="2"/>
  <c r="BO31" i="2"/>
</calcChain>
</file>

<file path=xl/sharedStrings.xml><?xml version="1.0" encoding="utf-8"?>
<sst xmlns="http://schemas.openxmlformats.org/spreadsheetml/2006/main" count="158" uniqueCount="97">
  <si>
    <t>SLC Agrícola</t>
  </si>
  <si>
    <t>EBITDA ( R$ mil)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</si>
  <si>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</si>
  <si>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</si>
  <si>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</si>
  <si>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</si>
  <si>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</si>
  <si>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</si>
  <si>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</si>
  <si>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</si>
  <si>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</si>
  <si>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</si>
  <si>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</si>
  <si>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</si>
  <si>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</si>
  <si>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</si>
  <si>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</si>
  <si>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</si>
  <si>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</si>
  <si>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</si>
  <si>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</si>
  <si>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</si>
  <si>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</si>
  <si>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</si>
  <si>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</si>
  <si>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</si>
  <si>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</si>
  <si>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</si>
  <si>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</si>
  <si>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</si>
  <si>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</si>
  <si>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</si>
  <si>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</si>
  <si>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</si>
  <si>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</si>
  <si>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</si>
  <si>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</si>
  <si>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</si>
  <si>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</si>
  <si>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</si>
  <si>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</si>
  <si>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</si>
  <si>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</si>
  <si>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</si>
  <si>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</si>
  <si>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</si>
  <si>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</si>
  <si>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</si>
  <si>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</si>
  <si>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</si>
  <si>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Net Revenue</t>
  </si>
  <si>
    <t>Change in Far Value of Biological Assets</t>
  </si>
  <si>
    <t xml:space="preserve">(-) Cost of Goods and/or Services Sold </t>
  </si>
  <si>
    <t>Realization of the Fair Value of Bio. Assets</t>
  </si>
  <si>
    <t xml:space="preserve">Gross Profit </t>
  </si>
  <si>
    <t xml:space="preserve">(-) Sales Expenses </t>
  </si>
  <si>
    <t xml:space="preserve">(-) General and administrative </t>
  </si>
  <si>
    <t>(-) Provision for the Profit Share Program*</t>
  </si>
  <si>
    <t xml:space="preserve">(-) Management compensation </t>
  </si>
  <si>
    <t xml:space="preserve">(-) Other operating revenues </t>
  </si>
  <si>
    <t xml:space="preserve">(=) Income from Activity </t>
  </si>
  <si>
    <t xml:space="preserve">(+) Depreciation and amortization </t>
  </si>
  <si>
    <t xml:space="preserve">EBITDA </t>
  </si>
  <si>
    <t>Adjusted EBITDA (farming + land sale)</t>
  </si>
  <si>
    <t>Adjusted EBITDA Margin % (farming + land sale)</t>
  </si>
  <si>
    <t>Adjusted EBITDA (farming)</t>
  </si>
  <si>
    <t>Adjusted EBITDA Margin % (farming)</t>
  </si>
  <si>
    <t>Adjusted EBITDA (land sale)</t>
  </si>
  <si>
    <t>-</t>
  </si>
  <si>
    <t>OBS: From 2009 to 2010, the PPR (Profit Sharing) is added to General and Administrative expenses. We are arranging the opening of this information.</t>
  </si>
  <si>
    <t>2Q21</t>
  </si>
  <si>
    <t>1Q21</t>
  </si>
  <si>
    <t>3Q21</t>
  </si>
  <si>
    <t>9M21</t>
  </si>
  <si>
    <t>4Q21</t>
  </si>
  <si>
    <t>1Q22</t>
  </si>
  <si>
    <t>1S22</t>
  </si>
  <si>
    <t>2Q22</t>
  </si>
  <si>
    <t>9M22</t>
  </si>
  <si>
    <t>3Q22</t>
  </si>
  <si>
    <t>4Q22</t>
  </si>
  <si>
    <t>1Q23</t>
  </si>
  <si>
    <t>2T23</t>
  </si>
  <si>
    <t>1S23</t>
  </si>
  <si>
    <t xml:space="preserve">(+) Settled Fixed Assets </t>
  </si>
  <si>
    <t>(+) Other Trans. – Prop., Plant and Equip.</t>
  </si>
  <si>
    <t>(+) Land sale cost</t>
  </si>
  <si>
    <t>(+) IFRS 16 adjustment | Retained profit</t>
  </si>
  <si>
    <t>(-) Capital Gains</t>
  </si>
  <si>
    <t>(+) NRV - Net realisable value</t>
  </si>
  <si>
    <t>9M23</t>
  </si>
  <si>
    <t>3Q23</t>
  </si>
  <si>
    <t>Net Realizable Value of Agricultural Products</t>
  </si>
  <si>
    <t>4Q23</t>
  </si>
  <si>
    <t>(-)  Variation in Fair Value of Biological Assets</t>
  </si>
  <si>
    <t>(+) Realization of the Fair Value of Biological Assets</t>
  </si>
  <si>
    <t>(+) Depreciation adjustment of right-of-use assets - IFRS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</si>
</sst>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523D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1" applyNumberFormat="0" applyFill="0" applyAlignment="0" applyProtection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horizontal="left" indent="1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5" fillId="0" borderId="0" xfId="0" applyNumberFormat="1" applyFont="1" applyAlignment="1">
      <alignment horizontal="left"/>
    </xf>
    <xf numFmtId="165" fontId="4" fillId="0" borderId="0" xfId="1" applyNumberFormat="1" applyFont="1" applyFill="1" applyBorder="1"/>
    <xf numFmtId="165" fontId="3" fillId="0" borderId="0" xfId="0" applyNumberFormat="1" applyFont="1" applyAlignment="1">
      <alignment horizontal="right" wrapText="1"/>
    </xf>
    <xf numFmtId="165" fontId="1" fillId="0" borderId="0" xfId="1" applyNumberFormat="1" applyFont="1"/>
    <xf numFmtId="165" fontId="3" fillId="0" borderId="0" xfId="1" applyNumberFormat="1" applyFont="1"/>
    <xf numFmtId="164" fontId="0" fillId="0" borderId="0" xfId="0" applyNumberFormat="1"/>
    <xf numFmtId="165" fontId="3" fillId="0" borderId="0" xfId="0" applyNumberFormat="1" applyFont="1"/>
    <xf numFmtId="164" fontId="3" fillId="0" borderId="0" xfId="0" applyNumberFormat="1" applyFont="1"/>
    <xf numFmtId="3" fontId="3" fillId="0" borderId="0" xfId="0" applyNumberFormat="1" applyFont="1"/>
    <xf numFmtId="0" fontId="6" fillId="0" borderId="0" xfId="0" applyFont="1"/>
    <xf numFmtId="165" fontId="3" fillId="0" borderId="0" xfId="1" applyNumberFormat="1" applyFont="1" applyAlignment="1">
      <alignment horizontal="right"/>
    </xf>
    <xf numFmtId="3" fontId="0" fillId="0" borderId="0" xfId="0" applyNumberFormat="1"/>
    <xf numFmtId="3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</cellXfs>
  <cellStyles count="3">
    <cellStyle name="Normal" xfId="0" builtinId="0"/>
    <cellStyle name="Porcentagem" xfId="1" builtinId="5"/>
    <cellStyle name="Total" xfId="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34"/>
  <sheetViews>
    <sheetView showGridLines="0" tabSelected="1" topLeftCell="A6" zoomScaleNormal="100" workbookViewId="0">
      <pane xSplit="1" topLeftCell="B1" activePane="topRight" state="frozen"/>
      <selection pane="topRight" activeCell="A14" sqref="A14"/>
    </sheetView>
  </sheetViews>
  <sheetFormatPr defaultRowHeight="14.5" x14ac:dyDescent="0.35"/>
  <cols>
    <col min="1" max="1" width="43.81640625" bestFit="1" customWidth="1"/>
    <col min="2" max="4" width="10.81640625" customWidth="1"/>
    <col min="5" max="5" width="10.1796875" customWidth="1"/>
    <col min="6" max="15" width="10.81640625" customWidth="1"/>
    <col min="16" max="16" width="11.7265625" customWidth="1"/>
    <col min="17" max="20" width="10.81640625" customWidth="1"/>
    <col min="21" max="21" width="11.7265625" customWidth="1"/>
    <col min="22" max="25" width="10.81640625" customWidth="1"/>
    <col min="26" max="26" width="11.7265625" customWidth="1"/>
    <col min="27" max="30" width="10.81640625" customWidth="1"/>
    <col min="31" max="31" width="12.453125" customWidth="1"/>
    <col min="32" max="35" width="10.81640625" customWidth="1"/>
    <col min="36" max="36" width="12.453125" customWidth="1"/>
    <col min="37" max="37" width="10.81640625" bestFit="1" customWidth="1"/>
    <col min="38" max="40" width="9.7265625" bestFit="1" customWidth="1"/>
    <col min="41" max="41" width="11.26953125" bestFit="1" customWidth="1"/>
    <col min="42" max="44" width="9.7265625" bestFit="1" customWidth="1"/>
    <col min="45" max="45" width="11.26953125" bestFit="1" customWidth="1"/>
    <col min="46" max="46" width="12.26953125" bestFit="1" customWidth="1"/>
    <col min="47" max="47" width="11.26953125" bestFit="1" customWidth="1"/>
    <col min="48" max="48" width="9.7265625" bestFit="1" customWidth="1"/>
    <col min="49" max="50" width="10.1796875" customWidth="1"/>
    <col min="51" max="51" width="11.26953125" customWidth="1"/>
    <col min="52" max="52" width="10.7265625" customWidth="1"/>
    <col min="53" max="55" width="9.7265625" bestFit="1" customWidth="1"/>
    <col min="56" max="56" width="11.26953125" customWidth="1"/>
    <col min="57" max="58" width="9.7265625" bestFit="1" customWidth="1"/>
    <col min="59" max="60" width="9.7265625" customWidth="1"/>
    <col min="61" max="61" width="11.26953125" bestFit="1" customWidth="1"/>
    <col min="62" max="62" width="11.26953125" customWidth="1"/>
    <col min="63" max="63" width="11.26953125" bestFit="1" customWidth="1"/>
    <col min="64" max="64" width="9.7265625" bestFit="1" customWidth="1"/>
    <col min="65" max="65" width="10.81640625" bestFit="1" customWidth="1"/>
    <col min="66" max="66" width="11.26953125" bestFit="1" customWidth="1"/>
    <col min="67" max="67" width="10.54296875" bestFit="1" customWidth="1"/>
    <col min="68" max="69" width="11.26953125" bestFit="1" customWidth="1"/>
    <col min="70" max="74" width="10.81640625" bestFit="1" customWidth="1"/>
    <col min="75" max="75" width="11.26953125" bestFit="1" customWidth="1"/>
    <col min="76" max="76" width="9.54296875" bestFit="1" customWidth="1"/>
    <col min="77" max="81" width="10.81640625" bestFit="1" customWidth="1"/>
  </cols>
  <sheetData>
    <row r="1" spans="1:82" ht="15" customHeight="1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82" x14ac:dyDescent="0.3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>
        <v>2009</v>
      </c>
      <c r="G2" s="4" t="s">
        <v>6</v>
      </c>
      <c r="H2" s="4" t="s">
        <v>7</v>
      </c>
      <c r="I2" s="4" t="s">
        <v>8</v>
      </c>
      <c r="J2" s="4" t="s">
        <v>9</v>
      </c>
      <c r="K2" s="4">
        <v>2010</v>
      </c>
      <c r="L2" s="4" t="s">
        <v>10</v>
      </c>
      <c r="M2" s="4" t="s">
        <v>11</v>
      </c>
      <c r="N2" s="4" t="s">
        <v>12</v>
      </c>
      <c r="O2" s="4" t="s">
        <v>13</v>
      </c>
      <c r="P2" s="4">
        <v>2011</v>
      </c>
      <c r="Q2" s="4" t="s">
        <v>14</v>
      </c>
      <c r="R2" s="4" t="s">
        <v>15</v>
      </c>
      <c r="S2" s="4" t="s">
        <v>16</v>
      </c>
      <c r="T2" s="4" t="s">
        <v>17</v>
      </c>
      <c r="U2" s="4">
        <v>2012</v>
      </c>
      <c r="V2" s="4" t="s">
        <v>18</v>
      </c>
      <c r="W2" s="4" t="s">
        <v>19</v>
      </c>
      <c r="X2" s="4" t="s">
        <v>20</v>
      </c>
      <c r="Y2" s="4" t="s">
        <v>21</v>
      </c>
      <c r="Z2" s="4">
        <v>2013</v>
      </c>
      <c r="AA2" s="4" t="s">
        <v>22</v>
      </c>
      <c r="AB2" s="4" t="s">
        <v>23</v>
      </c>
      <c r="AC2" s="4" t="s">
        <v>24</v>
      </c>
      <c r="AD2" s="4" t="s">
        <v>25</v>
      </c>
      <c r="AE2" s="4">
        <v>2014</v>
      </c>
      <c r="AF2" s="4" t="s">
        <v>26</v>
      </c>
      <c r="AG2" s="4" t="s">
        <v>27</v>
      </c>
      <c r="AH2" s="4" t="s">
        <v>28</v>
      </c>
      <c r="AI2" s="4" t="s">
        <v>29</v>
      </c>
      <c r="AJ2" s="4">
        <v>2015</v>
      </c>
      <c r="AK2" s="4" t="s">
        <v>30</v>
      </c>
      <c r="AL2" s="4" t="s">
        <v>31</v>
      </c>
      <c r="AM2" s="4" t="s">
        <v>32</v>
      </c>
      <c r="AN2" s="4" t="s">
        <v>33</v>
      </c>
      <c r="AO2" s="4">
        <v>2016</v>
      </c>
      <c r="AP2" s="4" t="s">
        <v>34</v>
      </c>
      <c r="AQ2" s="4" t="s">
        <v>35</v>
      </c>
      <c r="AR2" s="4" t="s">
        <v>36</v>
      </c>
      <c r="AS2" s="4" t="s">
        <v>37</v>
      </c>
      <c r="AT2" s="4">
        <v>2017</v>
      </c>
      <c r="AU2" s="4" t="s">
        <v>38</v>
      </c>
      <c r="AV2" s="4" t="s">
        <v>39</v>
      </c>
      <c r="AW2" s="4" t="s">
        <v>40</v>
      </c>
      <c r="AX2" s="4" t="s">
        <v>41</v>
      </c>
      <c r="AY2" s="4">
        <v>2018</v>
      </c>
      <c r="AZ2" s="4" t="s">
        <v>42</v>
      </c>
      <c r="BA2" s="4" t="s">
        <v>43</v>
      </c>
      <c r="BB2" s="4" t="s">
        <v>44</v>
      </c>
      <c r="BC2" s="4" t="s">
        <v>45</v>
      </c>
      <c r="BD2" s="4">
        <v>2019</v>
      </c>
      <c r="BE2" s="4" t="s">
        <v>46</v>
      </c>
      <c r="BF2" s="4" t="s">
        <v>47</v>
      </c>
      <c r="BG2" s="4" t="s">
        <v>48</v>
      </c>
      <c r="BH2" s="4" t="s">
        <v>49</v>
      </c>
      <c r="BI2" s="4">
        <v>2020</v>
      </c>
      <c r="BJ2" s="4" t="s">
        <v>71</v>
      </c>
      <c r="BK2" s="4" t="s">
        <v>70</v>
      </c>
      <c r="BL2" s="4" t="s">
        <v>72</v>
      </c>
      <c r="BM2" s="4" t="s">
        <v>73</v>
      </c>
      <c r="BN2" s="4" t="s">
        <v>74</v>
      </c>
      <c r="BO2" s="4">
        <v>2021</v>
      </c>
      <c r="BP2" s="4" t="s">
        <v>75</v>
      </c>
      <c r="BQ2" s="4" t="s">
        <v>77</v>
      </c>
      <c r="BR2" s="4" t="s">
        <v>76</v>
      </c>
      <c r="BS2" s="4" t="s">
        <v>79</v>
      </c>
      <c r="BT2" s="4" t="s">
        <v>78</v>
      </c>
      <c r="BU2" s="4" t="s">
        <v>80</v>
      </c>
      <c r="BV2" s="4">
        <v>2022</v>
      </c>
      <c r="BW2" s="4" t="s">
        <v>81</v>
      </c>
      <c r="BX2" s="4" t="s">
        <v>82</v>
      </c>
      <c r="BY2" s="4" t="s">
        <v>83</v>
      </c>
      <c r="BZ2" s="4" t="s">
        <v>91</v>
      </c>
      <c r="CA2" s="4" t="s">
        <v>90</v>
      </c>
      <c r="CB2" s="4" t="s">
        <v>93</v>
      </c>
      <c r="CC2" s="4">
        <v>2023</v>
      </c>
    </row>
    <row r="3" spans="1:82" x14ac:dyDescent="0.35">
      <c r="A3" s="1" t="s">
        <v>50</v>
      </c>
      <c r="B3" s="5">
        <f>204522-B4</f>
        <v>164706</v>
      </c>
      <c r="C3" s="5">
        <f>120588-C4</f>
        <v>146683</v>
      </c>
      <c r="D3" s="5">
        <v>135144</v>
      </c>
      <c r="E3" s="5">
        <f>163221-E4</f>
        <v>150439</v>
      </c>
      <c r="F3" s="5">
        <v>596972</v>
      </c>
      <c r="G3" s="5">
        <f>177185-G4</f>
        <v>179851</v>
      </c>
      <c r="H3" s="5">
        <v>146687</v>
      </c>
      <c r="I3" s="5">
        <v>147958</v>
      </c>
      <c r="J3" s="5">
        <v>274993</v>
      </c>
      <c r="K3" s="5">
        <v>749489</v>
      </c>
      <c r="L3" s="5">
        <v>154838</v>
      </c>
      <c r="M3" s="5">
        <v>145666</v>
      </c>
      <c r="N3" s="5">
        <v>182704</v>
      </c>
      <c r="O3" s="5">
        <v>312826</v>
      </c>
      <c r="P3" s="5">
        <v>796034</v>
      </c>
      <c r="Q3" s="5">
        <v>255442</v>
      </c>
      <c r="R3" s="5">
        <v>227379</v>
      </c>
      <c r="S3" s="5">
        <v>220311</v>
      </c>
      <c r="T3" s="5">
        <v>281280</v>
      </c>
      <c r="U3" s="5">
        <v>984412</v>
      </c>
      <c r="V3" s="5">
        <v>247625</v>
      </c>
      <c r="W3" s="5">
        <v>252824</v>
      </c>
      <c r="X3" s="5">
        <v>214037</v>
      </c>
      <c r="Y3" s="5">
        <v>320742</v>
      </c>
      <c r="Z3" s="5">
        <v>1035228</v>
      </c>
      <c r="AA3" s="5">
        <v>256579</v>
      </c>
      <c r="AB3" s="5">
        <v>365765</v>
      </c>
      <c r="AC3" s="5">
        <v>297684</v>
      </c>
      <c r="AD3" s="5">
        <v>415976</v>
      </c>
      <c r="AE3" s="5">
        <v>1336004</v>
      </c>
      <c r="AF3" s="5">
        <v>269995</v>
      </c>
      <c r="AG3" s="5">
        <v>393006</v>
      </c>
      <c r="AH3" s="5">
        <v>266300</v>
      </c>
      <c r="AI3" s="5">
        <v>552450</v>
      </c>
      <c r="AJ3" s="5">
        <v>1481751</v>
      </c>
      <c r="AK3" s="5">
        <f>421202-AK4</f>
        <v>334043</v>
      </c>
      <c r="AL3" s="5">
        <f>291193-AL4</f>
        <v>369180</v>
      </c>
      <c r="AM3" s="5">
        <f>317615-AM4</f>
        <v>323511</v>
      </c>
      <c r="AN3" s="5">
        <f>629639-AN4</f>
        <v>575211</v>
      </c>
      <c r="AO3" s="5">
        <f>1659649-AO4</f>
        <v>1601945</v>
      </c>
      <c r="AP3" s="14">
        <f>459121-AP4</f>
        <v>349731</v>
      </c>
      <c r="AQ3" s="5">
        <f>472929-AQ4</f>
        <v>343008</v>
      </c>
      <c r="AR3" s="5">
        <f>561029-AR4</f>
        <v>459587</v>
      </c>
      <c r="AS3" s="5">
        <f>705728</f>
        <v>705728</v>
      </c>
      <c r="AT3" s="14">
        <v>1858054</v>
      </c>
      <c r="AU3" s="14">
        <v>423297</v>
      </c>
      <c r="AV3" s="14">
        <v>464408</v>
      </c>
      <c r="AW3" s="15">
        <v>408451</v>
      </c>
      <c r="AX3" s="15">
        <v>803021</v>
      </c>
      <c r="AY3" s="15">
        <v>2099177</v>
      </c>
      <c r="AZ3" s="15">
        <v>618838</v>
      </c>
      <c r="BA3" s="15">
        <v>413058</v>
      </c>
      <c r="BB3" s="15">
        <v>684900</v>
      </c>
      <c r="BC3" s="15">
        <v>819109</v>
      </c>
      <c r="BD3" s="15">
        <v>2535905</v>
      </c>
      <c r="BE3" s="15">
        <v>632632</v>
      </c>
      <c r="BF3" s="15">
        <v>562629</v>
      </c>
      <c r="BG3" s="15">
        <v>776517</v>
      </c>
      <c r="BH3" s="15">
        <v>1125770</v>
      </c>
      <c r="BI3" s="15">
        <v>3097547</v>
      </c>
      <c r="BJ3" s="15">
        <v>827490</v>
      </c>
      <c r="BK3" s="15">
        <v>1043853</v>
      </c>
      <c r="BL3" s="15">
        <v>942369</v>
      </c>
      <c r="BM3" s="15">
        <f>BJ3+BK3+BL3-4</f>
        <v>2813708</v>
      </c>
      <c r="BN3" s="15">
        <v>1549499</v>
      </c>
      <c r="BO3" s="15">
        <f>BM3+BN3+3</f>
        <v>4363210</v>
      </c>
      <c r="BP3" s="15">
        <v>2409077</v>
      </c>
      <c r="BQ3" s="15">
        <v>1664892</v>
      </c>
      <c r="BR3" s="15">
        <v>4073969</v>
      </c>
      <c r="BS3" s="15">
        <v>1353094</v>
      </c>
      <c r="BT3" s="15">
        <v>5427064</v>
      </c>
      <c r="BU3" s="15">
        <v>1945970</v>
      </c>
      <c r="BV3" s="15">
        <v>7373034</v>
      </c>
      <c r="BW3" s="15">
        <v>2219315</v>
      </c>
      <c r="BX3" s="15">
        <v>1444422</v>
      </c>
      <c r="BY3" s="15">
        <v>3663737</v>
      </c>
      <c r="BZ3" s="15">
        <v>1648152</v>
      </c>
      <c r="CA3" s="15">
        <v>5311889</v>
      </c>
      <c r="CB3" s="15">
        <v>1918694</v>
      </c>
      <c r="CC3" s="15">
        <v>7230583</v>
      </c>
      <c r="CD3" s="15">
        <v>1956914</v>
      </c>
    </row>
    <row r="4" spans="1:82" x14ac:dyDescent="0.35">
      <c r="A4" s="1" t="s">
        <v>51</v>
      </c>
      <c r="B4" s="5">
        <v>39816</v>
      </c>
      <c r="C4" s="5">
        <v>-26095</v>
      </c>
      <c r="D4" s="5">
        <v>-35515</v>
      </c>
      <c r="E4" s="5">
        <v>12782</v>
      </c>
      <c r="F4" s="5">
        <v>-9012</v>
      </c>
      <c r="G4" s="5">
        <v>-2666</v>
      </c>
      <c r="H4" s="5">
        <v>59733</v>
      </c>
      <c r="I4" s="5">
        <v>71872</v>
      </c>
      <c r="J4" s="5">
        <v>10285</v>
      </c>
      <c r="K4" s="5">
        <v>139224</v>
      </c>
      <c r="L4" s="5">
        <v>41439</v>
      </c>
      <c r="M4" s="5">
        <v>64438</v>
      </c>
      <c r="N4" s="5">
        <v>92978</v>
      </c>
      <c r="O4" s="5">
        <v>10751</v>
      </c>
      <c r="P4" s="5">
        <v>209606</v>
      </c>
      <c r="Q4" s="5">
        <v>69372</v>
      </c>
      <c r="R4" s="14">
        <f t="shared" ref="R4:AX4" si="0">-R19</f>
        <v>-594</v>
      </c>
      <c r="S4" s="14">
        <f t="shared" si="0"/>
        <v>47940</v>
      </c>
      <c r="T4" s="14">
        <f t="shared" si="0"/>
        <v>17613</v>
      </c>
      <c r="U4" s="14">
        <f t="shared" si="0"/>
        <v>134331</v>
      </c>
      <c r="V4" s="14">
        <f t="shared" si="0"/>
        <v>9243</v>
      </c>
      <c r="W4" s="14">
        <f t="shared" si="0"/>
        <v>64472</v>
      </c>
      <c r="X4" s="14">
        <f t="shared" si="0"/>
        <v>54625</v>
      </c>
      <c r="Y4" s="14">
        <f t="shared" si="0"/>
        <v>17952</v>
      </c>
      <c r="Z4" s="14">
        <f t="shared" si="0"/>
        <v>146292</v>
      </c>
      <c r="AA4" s="14">
        <f t="shared" si="0"/>
        <v>94199</v>
      </c>
      <c r="AB4" s="14">
        <f t="shared" si="0"/>
        <v>29837</v>
      </c>
      <c r="AC4" s="14">
        <f t="shared" si="0"/>
        <v>16503</v>
      </c>
      <c r="AD4" s="14">
        <f t="shared" si="0"/>
        <v>22632</v>
      </c>
      <c r="AE4" s="14">
        <f t="shared" si="0"/>
        <v>163171</v>
      </c>
      <c r="AF4" s="14">
        <f t="shared" si="0"/>
        <v>94276</v>
      </c>
      <c r="AG4" s="14">
        <f t="shared" si="0"/>
        <v>77989</v>
      </c>
      <c r="AH4" s="14">
        <f t="shared" si="0"/>
        <v>76398</v>
      </c>
      <c r="AI4" s="14">
        <f t="shared" si="0"/>
        <v>31167</v>
      </c>
      <c r="AJ4" s="14">
        <f t="shared" si="0"/>
        <v>279830</v>
      </c>
      <c r="AK4" s="14">
        <f t="shared" si="0"/>
        <v>87159</v>
      </c>
      <c r="AL4" s="14">
        <f t="shared" si="0"/>
        <v>-77987</v>
      </c>
      <c r="AM4" s="14">
        <f t="shared" si="0"/>
        <v>-5896</v>
      </c>
      <c r="AN4" s="14">
        <f t="shared" si="0"/>
        <v>54428</v>
      </c>
      <c r="AO4" s="14">
        <f t="shared" si="0"/>
        <v>57704</v>
      </c>
      <c r="AP4" s="14">
        <f t="shared" si="0"/>
        <v>109390</v>
      </c>
      <c r="AQ4" s="14">
        <f t="shared" si="0"/>
        <v>129921</v>
      </c>
      <c r="AR4" s="14">
        <f t="shared" si="0"/>
        <v>101442</v>
      </c>
      <c r="AS4" s="14">
        <f t="shared" si="0"/>
        <v>21094</v>
      </c>
      <c r="AT4" s="14">
        <f t="shared" si="0"/>
        <v>361847</v>
      </c>
      <c r="AU4" s="14">
        <f t="shared" si="0"/>
        <v>239407</v>
      </c>
      <c r="AV4" s="14">
        <f t="shared" si="0"/>
        <v>288258</v>
      </c>
      <c r="AW4" s="14">
        <f t="shared" si="0"/>
        <v>129134</v>
      </c>
      <c r="AX4" s="14">
        <f t="shared" si="0"/>
        <v>67492</v>
      </c>
      <c r="AY4" s="14">
        <f>-AY19</f>
        <v>724291</v>
      </c>
      <c r="AZ4" s="14">
        <v>146497</v>
      </c>
      <c r="BA4" s="14">
        <v>393743</v>
      </c>
      <c r="BB4" s="14">
        <v>-121797</v>
      </c>
      <c r="BC4" s="14">
        <v>86308</v>
      </c>
      <c r="BD4" s="14">
        <v>504751</v>
      </c>
      <c r="BE4" s="14">
        <v>294174</v>
      </c>
      <c r="BF4" s="14">
        <v>421280</v>
      </c>
      <c r="BG4" s="14">
        <v>-25523</v>
      </c>
      <c r="BH4" s="14">
        <v>85329</v>
      </c>
      <c r="BI4" s="14">
        <v>7775534</v>
      </c>
      <c r="BJ4" s="14">
        <v>737890</v>
      </c>
      <c r="BK4" s="14">
        <v>644043</v>
      </c>
      <c r="BL4" s="14">
        <v>201128</v>
      </c>
      <c r="BM4" s="14">
        <f t="shared" ref="BM4:BM12" si="1">BJ4+BK4+BL4</f>
        <v>1583061</v>
      </c>
      <c r="BN4" s="14">
        <v>378097</v>
      </c>
      <c r="BO4" s="15">
        <f>BM4+BN4+1</f>
        <v>1961159</v>
      </c>
      <c r="BP4" s="14">
        <v>1086728</v>
      </c>
      <c r="BQ4" s="14">
        <v>723691</v>
      </c>
      <c r="BR4" s="14">
        <v>1810419</v>
      </c>
      <c r="BS4" s="14">
        <v>30068</v>
      </c>
      <c r="BT4" s="14">
        <v>1840487</v>
      </c>
      <c r="BU4" s="14">
        <v>376191</v>
      </c>
      <c r="BV4" s="14">
        <v>2216676</v>
      </c>
      <c r="BW4" s="14">
        <v>854871</v>
      </c>
      <c r="BX4" s="15">
        <v>685770</v>
      </c>
      <c r="BY4" s="14">
        <v>1540641</v>
      </c>
      <c r="BZ4" s="14">
        <v>452533</v>
      </c>
      <c r="CA4" s="14">
        <v>1993174</v>
      </c>
      <c r="CB4" s="14">
        <v>-72709</v>
      </c>
      <c r="CC4" s="14">
        <v>1920465</v>
      </c>
      <c r="CD4" s="14">
        <v>-140763</v>
      </c>
    </row>
    <row r="5" spans="1:82" x14ac:dyDescent="0.35">
      <c r="A5" s="1" t="s">
        <v>92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5"/>
      <c r="BP5" s="14">
        <v>1392</v>
      </c>
      <c r="BQ5" s="14">
        <v>0</v>
      </c>
      <c r="BR5" s="14">
        <v>1392</v>
      </c>
      <c r="BS5" s="14">
        <v>-14135</v>
      </c>
      <c r="BT5" s="14">
        <v>-12743</v>
      </c>
      <c r="BU5" s="14">
        <v>-58623</v>
      </c>
      <c r="BV5" s="14">
        <v>-71366</v>
      </c>
      <c r="BW5" s="14">
        <v>-56380</v>
      </c>
      <c r="BX5" s="15">
        <v>16290</v>
      </c>
      <c r="BY5" s="14">
        <v>-40090</v>
      </c>
      <c r="BZ5" s="14">
        <v>-55554</v>
      </c>
      <c r="CA5" s="14">
        <v>-95644</v>
      </c>
      <c r="CB5" s="14">
        <v>66720</v>
      </c>
      <c r="CC5" s="14">
        <v>-28924</v>
      </c>
      <c r="CD5" s="14">
        <v>178648</v>
      </c>
    </row>
    <row r="6" spans="1:82" x14ac:dyDescent="0.35">
      <c r="A6" s="1" t="s">
        <v>52</v>
      </c>
      <c r="B6" s="5">
        <v>-105452</v>
      </c>
      <c r="C6" s="5">
        <v>-147367</v>
      </c>
      <c r="D6" s="5">
        <v>-150329</v>
      </c>
      <c r="E6" s="5">
        <v>-99197</v>
      </c>
      <c r="F6" s="5">
        <v>-502345</v>
      </c>
      <c r="G6" s="5">
        <v>-176091</v>
      </c>
      <c r="H6" s="5">
        <v>-131610</v>
      </c>
      <c r="I6" s="5">
        <v>-141432</v>
      </c>
      <c r="J6" s="5">
        <v>-219876</v>
      </c>
      <c r="K6" s="5">
        <v>-669009</v>
      </c>
      <c r="L6" s="5">
        <v>-121541</v>
      </c>
      <c r="M6" s="5">
        <v>-135876</v>
      </c>
      <c r="N6" s="5">
        <v>-149555</v>
      </c>
      <c r="O6" s="5">
        <v>-234391</v>
      </c>
      <c r="P6" s="5">
        <v>-641366</v>
      </c>
      <c r="Q6" s="5">
        <v>-220845</v>
      </c>
      <c r="R6" s="5">
        <v>-223180</v>
      </c>
      <c r="S6" s="5">
        <v>-195252</v>
      </c>
      <c r="T6" s="5">
        <v>-225679</v>
      </c>
      <c r="U6" s="5">
        <v>-864956</v>
      </c>
      <c r="V6" s="5">
        <v>-184584</v>
      </c>
      <c r="W6" s="5">
        <v>-220612</v>
      </c>
      <c r="X6" s="5">
        <v>-212791</v>
      </c>
      <c r="Y6" s="5">
        <v>-302247</v>
      </c>
      <c r="Z6" s="5">
        <v>-920234</v>
      </c>
      <c r="AA6" s="5">
        <v>-234284</v>
      </c>
      <c r="AB6" s="5">
        <v>-343159</v>
      </c>
      <c r="AC6" s="5">
        <v>-260887</v>
      </c>
      <c r="AD6" s="5">
        <v>-327760</v>
      </c>
      <c r="AE6" s="5">
        <v>-1166090</v>
      </c>
      <c r="AF6" s="5">
        <v>-242355</v>
      </c>
      <c r="AG6" s="5">
        <v>-365185</v>
      </c>
      <c r="AH6" s="5">
        <v>-255053</v>
      </c>
      <c r="AI6" s="5">
        <v>-465867</v>
      </c>
      <c r="AJ6" s="5">
        <v>-1328460</v>
      </c>
      <c r="AK6" s="5">
        <v>-347529</v>
      </c>
      <c r="AL6" s="5">
        <v>-363402</v>
      </c>
      <c r="AM6" s="5">
        <v>-277417</v>
      </c>
      <c r="AN6" s="5">
        <v>-424833</v>
      </c>
      <c r="AO6" s="5">
        <v>-1413181</v>
      </c>
      <c r="AP6" s="14">
        <v>-274171</v>
      </c>
      <c r="AQ6" s="5">
        <v>-303451</v>
      </c>
      <c r="AR6" s="5">
        <v>-405473</v>
      </c>
      <c r="AS6" s="14">
        <v>-559510</v>
      </c>
      <c r="AT6" s="14">
        <v>-1542605</v>
      </c>
      <c r="AU6" s="14">
        <v>-348244</v>
      </c>
      <c r="AV6" s="14">
        <v>-451239</v>
      </c>
      <c r="AW6" s="14">
        <v>-427087</v>
      </c>
      <c r="AX6" s="14">
        <v>-754940</v>
      </c>
      <c r="AY6" s="14">
        <v>-1977510</v>
      </c>
      <c r="AZ6" s="14">
        <v>-513559</v>
      </c>
      <c r="BA6" s="14">
        <v>-412246</v>
      </c>
      <c r="BB6" s="14">
        <v>-512277</v>
      </c>
      <c r="BC6" s="14">
        <v>-706336</v>
      </c>
      <c r="BD6" s="14">
        <v>-2257472</v>
      </c>
      <c r="BE6" s="14">
        <v>-599258</v>
      </c>
      <c r="BF6" s="14">
        <v>-596453</v>
      </c>
      <c r="BG6" s="14">
        <v>-551021</v>
      </c>
      <c r="BH6" s="14">
        <v>-872611</v>
      </c>
      <c r="BI6" s="14">
        <v>-2802782</v>
      </c>
      <c r="BJ6" s="14">
        <v>-868018</v>
      </c>
      <c r="BK6" s="14">
        <v>-895667</v>
      </c>
      <c r="BL6" s="14">
        <v>-934982</v>
      </c>
      <c r="BM6" s="14">
        <f t="shared" si="1"/>
        <v>-2698667</v>
      </c>
      <c r="BN6" s="14">
        <v>-1378058</v>
      </c>
      <c r="BO6" s="15">
        <f>BM6+BN6</f>
        <v>-4076725</v>
      </c>
      <c r="BP6" s="14">
        <v>-2018520</v>
      </c>
      <c r="BQ6" s="14">
        <v>-1460217</v>
      </c>
      <c r="BR6" s="14">
        <v>-3478737</v>
      </c>
      <c r="BS6" s="14">
        <v>-1201799</v>
      </c>
      <c r="BT6" s="14">
        <v>-4680536</v>
      </c>
      <c r="BU6" s="14">
        <v>-1706509</v>
      </c>
      <c r="BV6" s="14">
        <v>-6387045</v>
      </c>
      <c r="BW6" s="14">
        <v>-1850020</v>
      </c>
      <c r="BX6" s="15">
        <v>-1413502</v>
      </c>
      <c r="BY6" s="14">
        <v>-3263522</v>
      </c>
      <c r="BZ6" s="14">
        <v>-1458879</v>
      </c>
      <c r="CA6" s="14">
        <v>-4722401</v>
      </c>
      <c r="CB6" s="14">
        <v>-1779030</v>
      </c>
      <c r="CC6" s="14">
        <v>-6501430</v>
      </c>
      <c r="CD6" s="14">
        <v>-1348583</v>
      </c>
    </row>
    <row r="7" spans="1:82" x14ac:dyDescent="0.35">
      <c r="A7" s="2" t="s">
        <v>53</v>
      </c>
      <c r="B7" s="7">
        <v>-14986</v>
      </c>
      <c r="C7" s="7">
        <v>-1496</v>
      </c>
      <c r="D7" s="7">
        <v>2912</v>
      </c>
      <c r="E7" s="7">
        <v>9951</v>
      </c>
      <c r="F7" s="7">
        <v>-3619</v>
      </c>
      <c r="G7" s="7">
        <v>-24655</v>
      </c>
      <c r="H7" s="7">
        <v>-7893</v>
      </c>
      <c r="I7" s="7">
        <v>-18687</v>
      </c>
      <c r="J7" s="7">
        <v>-44202</v>
      </c>
      <c r="K7" s="7">
        <v>-95437</v>
      </c>
      <c r="L7" s="7">
        <v>-42923</v>
      </c>
      <c r="M7" s="7">
        <v>-34669</v>
      </c>
      <c r="N7" s="7">
        <v>-42093</v>
      </c>
      <c r="O7" s="7">
        <v>-55818</v>
      </c>
      <c r="P7" s="7">
        <v>-175503</v>
      </c>
      <c r="Q7" s="7">
        <v>-65930</v>
      </c>
      <c r="R7" s="12">
        <f t="shared" ref="R7:AX7" si="2">-R20</f>
        <v>-56625</v>
      </c>
      <c r="S7" s="12">
        <f t="shared" si="2"/>
        <v>-27347</v>
      </c>
      <c r="T7" s="12">
        <f t="shared" si="2"/>
        <v>-31551</v>
      </c>
      <c r="U7" s="12">
        <f t="shared" si="2"/>
        <v>-181452</v>
      </c>
      <c r="V7" s="12">
        <f t="shared" si="2"/>
        <v>-28629</v>
      </c>
      <c r="W7" s="12">
        <f t="shared" si="2"/>
        <v>3057</v>
      </c>
      <c r="X7" s="12">
        <f t="shared" si="2"/>
        <v>-26283</v>
      </c>
      <c r="Y7" s="12">
        <f t="shared" si="2"/>
        <v>-62171</v>
      </c>
      <c r="Z7" s="12">
        <f t="shared" si="2"/>
        <v>-114026</v>
      </c>
      <c r="AA7" s="12">
        <f t="shared" si="2"/>
        <v>-68522</v>
      </c>
      <c r="AB7" s="12">
        <f t="shared" si="2"/>
        <v>-60576</v>
      </c>
      <c r="AC7" s="12">
        <f t="shared" si="2"/>
        <v>-30830</v>
      </c>
      <c r="AD7" s="12">
        <f t="shared" si="2"/>
        <v>-32672</v>
      </c>
      <c r="AE7" s="12">
        <f t="shared" si="2"/>
        <v>-192600</v>
      </c>
      <c r="AF7" s="12">
        <f t="shared" si="2"/>
        <v>-41722</v>
      </c>
      <c r="AG7" s="12">
        <f t="shared" si="2"/>
        <v>-63284</v>
      </c>
      <c r="AH7" s="12">
        <f t="shared" si="2"/>
        <v>-40891</v>
      </c>
      <c r="AI7" s="12">
        <f t="shared" si="2"/>
        <v>-81373</v>
      </c>
      <c r="AJ7" s="12">
        <f t="shared" si="2"/>
        <v>-227270</v>
      </c>
      <c r="AK7" s="12">
        <f t="shared" si="2"/>
        <v>-86763</v>
      </c>
      <c r="AL7" s="12">
        <f t="shared" si="2"/>
        <v>-7447</v>
      </c>
      <c r="AM7" s="12">
        <f t="shared" si="2"/>
        <v>11971</v>
      </c>
      <c r="AN7" s="12">
        <f t="shared" si="2"/>
        <v>-2694</v>
      </c>
      <c r="AO7" s="12">
        <f t="shared" si="2"/>
        <v>-84933</v>
      </c>
      <c r="AP7" s="12">
        <f t="shared" si="2"/>
        <v>-70795</v>
      </c>
      <c r="AQ7" s="12">
        <f t="shared" si="2"/>
        <v>-40646</v>
      </c>
      <c r="AR7" s="12">
        <f t="shared" si="2"/>
        <v>-76502</v>
      </c>
      <c r="AS7" s="12">
        <f t="shared" si="2"/>
        <v>-139357</v>
      </c>
      <c r="AT7" s="12">
        <f t="shared" si="2"/>
        <v>-327300</v>
      </c>
      <c r="AU7" s="12">
        <f t="shared" si="2"/>
        <v>-106565</v>
      </c>
      <c r="AV7" s="12">
        <f t="shared" si="2"/>
        <v>-156072</v>
      </c>
      <c r="AW7" s="12">
        <f t="shared" si="2"/>
        <v>-121994</v>
      </c>
      <c r="AX7" s="12">
        <f t="shared" si="2"/>
        <v>-234645</v>
      </c>
      <c r="AY7" s="12">
        <f>-AY20</f>
        <v>-619276</v>
      </c>
      <c r="AZ7" s="12">
        <v>-160446</v>
      </c>
      <c r="BA7" s="12">
        <v>-125737</v>
      </c>
      <c r="BB7" s="12">
        <v>-113054</v>
      </c>
      <c r="BC7" s="12">
        <v>-125029</v>
      </c>
      <c r="BD7" s="12">
        <v>-524266</v>
      </c>
      <c r="BE7" s="12">
        <v>-186375</v>
      </c>
      <c r="BF7" s="12">
        <v>-195520</v>
      </c>
      <c r="BG7" s="12">
        <v>-183438</v>
      </c>
      <c r="BH7" s="12">
        <v>-185662</v>
      </c>
      <c r="BI7" s="12">
        <v>-750996</v>
      </c>
      <c r="BJ7" s="12">
        <v>-355933</v>
      </c>
      <c r="BK7" s="12">
        <v>-369275</v>
      </c>
      <c r="BL7" s="12">
        <v>-251112</v>
      </c>
      <c r="BM7" s="12">
        <f t="shared" si="1"/>
        <v>-976320</v>
      </c>
      <c r="BN7" s="12">
        <v>-449113</v>
      </c>
      <c r="BO7" s="15">
        <f>BM7+BN7-1</f>
        <v>-1425434</v>
      </c>
      <c r="BP7" s="12">
        <v>-896185</v>
      </c>
      <c r="BQ7" s="12">
        <v>-619253</v>
      </c>
      <c r="BR7" s="12">
        <v>-1515438</v>
      </c>
      <c r="BS7" s="12">
        <v>-256376</v>
      </c>
      <c r="BT7" s="12">
        <v>-1771814</v>
      </c>
      <c r="BU7" s="12">
        <v>-465866</v>
      </c>
      <c r="BV7" s="12">
        <v>-2237681</v>
      </c>
      <c r="BW7" s="12">
        <v>-683038</v>
      </c>
      <c r="BX7" s="18">
        <v>-471430</v>
      </c>
      <c r="BY7" s="12">
        <v>-1154468</v>
      </c>
      <c r="BZ7" s="12">
        <v>-326218</v>
      </c>
      <c r="CA7" s="12">
        <v>-1480686</v>
      </c>
      <c r="CB7" s="12">
        <v>-605973</v>
      </c>
      <c r="CC7" s="12">
        <v>-2086659</v>
      </c>
      <c r="CD7" s="12">
        <v>-104012</v>
      </c>
    </row>
    <row r="8" spans="1:82" x14ac:dyDescent="0.35">
      <c r="A8" s="1" t="s">
        <v>54</v>
      </c>
      <c r="B8" s="6">
        <v>75076</v>
      </c>
      <c r="C8" s="6">
        <v>1648</v>
      </c>
      <c r="D8" s="6">
        <v>-17264</v>
      </c>
      <c r="E8" s="6">
        <v>81786</v>
      </c>
      <c r="F8" s="6">
        <v>85615</v>
      </c>
      <c r="G8" s="6">
        <v>1094</v>
      </c>
      <c r="H8" s="6">
        <v>74810</v>
      </c>
      <c r="I8" s="6">
        <v>78398</v>
      </c>
      <c r="J8" s="6">
        <v>65402</v>
      </c>
      <c r="K8" s="6">
        <v>219704</v>
      </c>
      <c r="L8" s="6">
        <v>74736</v>
      </c>
      <c r="M8" s="6">
        <v>74228</v>
      </c>
      <c r="N8" s="6">
        <v>126127</v>
      </c>
      <c r="O8" s="6">
        <v>89186</v>
      </c>
      <c r="P8" s="6">
        <v>364277</v>
      </c>
      <c r="Q8" s="6">
        <v>103969</v>
      </c>
      <c r="R8" s="6">
        <v>3605</v>
      </c>
      <c r="S8" s="6">
        <v>72999</v>
      </c>
      <c r="T8" s="6">
        <v>73214</v>
      </c>
      <c r="U8" s="6">
        <v>253787</v>
      </c>
      <c r="V8" s="6">
        <v>72284</v>
      </c>
      <c r="W8" s="6">
        <v>96684</v>
      </c>
      <c r="X8" s="6">
        <v>55871</v>
      </c>
      <c r="Y8" s="6">
        <v>36447</v>
      </c>
      <c r="Z8" s="6">
        <v>261286</v>
      </c>
      <c r="AA8" s="6">
        <v>116494</v>
      </c>
      <c r="AB8" s="6">
        <v>52443</v>
      </c>
      <c r="AC8" s="6">
        <v>53300</v>
      </c>
      <c r="AD8" s="6">
        <v>110848</v>
      </c>
      <c r="AE8" s="6">
        <v>333085</v>
      </c>
      <c r="AF8" s="6">
        <v>121916</v>
      </c>
      <c r="AG8" s="6">
        <v>105810</v>
      </c>
      <c r="AH8" s="6">
        <v>87645</v>
      </c>
      <c r="AI8" s="6">
        <v>117750</v>
      </c>
      <c r="AJ8" s="6">
        <v>433121</v>
      </c>
      <c r="AK8" s="6">
        <v>73673</v>
      </c>
      <c r="AL8" s="6">
        <v>-72209</v>
      </c>
      <c r="AM8" s="6">
        <v>40198</v>
      </c>
      <c r="AN8" s="6">
        <v>204806</v>
      </c>
      <c r="AO8" s="6">
        <v>246468</v>
      </c>
      <c r="AP8" s="6">
        <v>184950</v>
      </c>
      <c r="AQ8" s="15">
        <v>169478</v>
      </c>
      <c r="AR8" s="15">
        <v>155556</v>
      </c>
      <c r="AS8" s="14">
        <v>167312</v>
      </c>
      <c r="AT8" s="14">
        <v>677296</v>
      </c>
      <c r="AU8" s="14">
        <v>314460</v>
      </c>
      <c r="AV8" s="14">
        <v>301427</v>
      </c>
      <c r="AW8" s="15">
        <v>114498</v>
      </c>
      <c r="AX8" s="15">
        <v>115573</v>
      </c>
      <c r="AY8" s="15">
        <v>845958</v>
      </c>
      <c r="AZ8" s="15">
        <v>251771</v>
      </c>
      <c r="BA8" s="15">
        <v>394555</v>
      </c>
      <c r="BB8" s="14">
        <v>-62228</v>
      </c>
      <c r="BC8" s="14">
        <v>199081</v>
      </c>
      <c r="BD8" s="14">
        <v>783184</v>
      </c>
      <c r="BE8" s="14">
        <v>327548</v>
      </c>
      <c r="BF8" s="14">
        <v>387456</v>
      </c>
      <c r="BG8" s="14">
        <v>16805</v>
      </c>
      <c r="BH8" s="14">
        <v>338488</v>
      </c>
      <c r="BI8" s="14">
        <v>1070299</v>
      </c>
      <c r="BJ8" s="14">
        <f>BJ3+BJ4+BJ6</f>
        <v>697362</v>
      </c>
      <c r="BK8" s="14">
        <f>BK3+BK4+BK6</f>
        <v>792229</v>
      </c>
      <c r="BL8" s="14">
        <f>BL3+BL4+BL6</f>
        <v>208515</v>
      </c>
      <c r="BM8" s="14">
        <f t="shared" si="1"/>
        <v>1698106</v>
      </c>
      <c r="BN8" s="14">
        <f>BN3+BN4+BN6</f>
        <v>549538</v>
      </c>
      <c r="BO8" s="15">
        <f>BM8+BN8</f>
        <v>2247644</v>
      </c>
      <c r="BP8" s="14">
        <f t="shared" ref="BP8:CD8" si="3">BP3+BP4+BP5+BP6</f>
        <v>1478677</v>
      </c>
      <c r="BQ8" s="14">
        <f t="shared" si="3"/>
        <v>928366</v>
      </c>
      <c r="BR8" s="14">
        <f t="shared" si="3"/>
        <v>2407043</v>
      </c>
      <c r="BS8" s="14">
        <f t="shared" si="3"/>
        <v>167228</v>
      </c>
      <c r="BT8" s="14">
        <f t="shared" si="3"/>
        <v>2574272</v>
      </c>
      <c r="BU8" s="14">
        <f t="shared" si="3"/>
        <v>557029</v>
      </c>
      <c r="BV8" s="14">
        <f t="shared" si="3"/>
        <v>3131299</v>
      </c>
      <c r="BW8" s="14">
        <f t="shared" si="3"/>
        <v>1167786</v>
      </c>
      <c r="BX8" s="14">
        <f t="shared" si="3"/>
        <v>732980</v>
      </c>
      <c r="BY8" s="14">
        <f t="shared" si="3"/>
        <v>1900766</v>
      </c>
      <c r="BZ8" s="14">
        <f t="shared" si="3"/>
        <v>586252</v>
      </c>
      <c r="CA8" s="14">
        <f t="shared" si="3"/>
        <v>2487018</v>
      </c>
      <c r="CB8" s="14">
        <f t="shared" si="3"/>
        <v>133675</v>
      </c>
      <c r="CC8" s="14">
        <f t="shared" si="3"/>
        <v>2620694</v>
      </c>
      <c r="CD8" s="14">
        <f t="shared" si="3"/>
        <v>646216</v>
      </c>
    </row>
    <row r="9" spans="1:82" x14ac:dyDescent="0.35">
      <c r="A9" s="2" t="s">
        <v>55</v>
      </c>
      <c r="B9" s="7">
        <v>-9114</v>
      </c>
      <c r="C9" s="7">
        <v>-6949</v>
      </c>
      <c r="D9" s="7">
        <v>-11996</v>
      </c>
      <c r="E9" s="7">
        <v>-15088</v>
      </c>
      <c r="F9" s="7">
        <v>-43147</v>
      </c>
      <c r="G9" s="7">
        <v>-11708</v>
      </c>
      <c r="H9" s="7">
        <v>-9118</v>
      </c>
      <c r="I9" s="7">
        <v>-13378</v>
      </c>
      <c r="J9" s="7">
        <v>-22440</v>
      </c>
      <c r="K9" s="7">
        <v>-56644</v>
      </c>
      <c r="L9" s="7">
        <v>-8336</v>
      </c>
      <c r="M9" s="7">
        <v>-6902</v>
      </c>
      <c r="N9" s="7">
        <v>-11057</v>
      </c>
      <c r="O9" s="7">
        <v>-20470</v>
      </c>
      <c r="P9" s="7">
        <v>-46765</v>
      </c>
      <c r="Q9" s="7">
        <v>-15942</v>
      </c>
      <c r="R9" s="7">
        <v>-13403</v>
      </c>
      <c r="S9" s="7">
        <v>-14577</v>
      </c>
      <c r="T9" s="7">
        <v>-23927</v>
      </c>
      <c r="U9" s="7">
        <v>-67849</v>
      </c>
      <c r="V9" s="7">
        <v>-16362</v>
      </c>
      <c r="W9" s="7">
        <v>-15449</v>
      </c>
      <c r="X9" s="7">
        <v>-11671</v>
      </c>
      <c r="Y9" s="7">
        <v>-20509</v>
      </c>
      <c r="Z9" s="7">
        <v>-63991</v>
      </c>
      <c r="AA9" s="7">
        <v>-13622</v>
      </c>
      <c r="AB9" s="7">
        <v>-14067</v>
      </c>
      <c r="AC9" s="7">
        <v>-20521</v>
      </c>
      <c r="AD9" s="7">
        <v>-37125</v>
      </c>
      <c r="AE9" s="7">
        <v>-85335</v>
      </c>
      <c r="AF9" s="7">
        <v>-20560</v>
      </c>
      <c r="AG9" s="7">
        <v>-16650</v>
      </c>
      <c r="AH9" s="7">
        <v>-17620</v>
      </c>
      <c r="AI9" s="7">
        <v>-37240</v>
      </c>
      <c r="AJ9" s="7">
        <v>-92070</v>
      </c>
      <c r="AK9" s="7">
        <v>-21433</v>
      </c>
      <c r="AL9" s="7">
        <v>-17513</v>
      </c>
      <c r="AM9" s="7">
        <v>-23607</v>
      </c>
      <c r="AN9" s="7">
        <v>-35036</v>
      </c>
      <c r="AO9" s="7">
        <v>-97589</v>
      </c>
      <c r="AP9" s="12">
        <v>-16117</v>
      </c>
      <c r="AQ9" s="7">
        <v>-13101</v>
      </c>
      <c r="AR9" s="7">
        <v>-19674</v>
      </c>
      <c r="AS9" s="12">
        <v>-41314</v>
      </c>
      <c r="AT9" s="12">
        <v>-90206</v>
      </c>
      <c r="AU9" s="12">
        <v>-23765</v>
      </c>
      <c r="AV9" s="12">
        <v>-17559</v>
      </c>
      <c r="AW9" s="12">
        <v>-22122</v>
      </c>
      <c r="AX9" s="12">
        <v>-55228</v>
      </c>
      <c r="AY9" s="12">
        <v>-118674</v>
      </c>
      <c r="AZ9" s="12">
        <v>-32945</v>
      </c>
      <c r="BA9" s="12">
        <v>-24523</v>
      </c>
      <c r="BB9" s="12">
        <v>-32031</v>
      </c>
      <c r="BC9" s="12">
        <v>-63473</v>
      </c>
      <c r="BD9" s="12">
        <v>-152972</v>
      </c>
      <c r="BE9" s="12">
        <v>-41773</v>
      </c>
      <c r="BF9" s="12">
        <v>-36849</v>
      </c>
      <c r="BG9" s="12">
        <v>-23251</v>
      </c>
      <c r="BH9" s="12">
        <v>-72089</v>
      </c>
      <c r="BI9" s="12">
        <v>-173964</v>
      </c>
      <c r="BJ9" s="12">
        <v>-53379</v>
      </c>
      <c r="BK9" s="12">
        <v>-32786</v>
      </c>
      <c r="BL9" s="12">
        <v>-37736</v>
      </c>
      <c r="BM9" s="12">
        <f t="shared" si="1"/>
        <v>-123901</v>
      </c>
      <c r="BN9" s="12">
        <v>-88658</v>
      </c>
      <c r="BO9" s="18">
        <f>BM9+BN9</f>
        <v>-212559</v>
      </c>
      <c r="BP9" s="12">
        <v>-77064</v>
      </c>
      <c r="BQ9" s="12">
        <v>-94402</v>
      </c>
      <c r="BR9" s="12">
        <v>-171466</v>
      </c>
      <c r="BS9" s="12">
        <v>-63631</v>
      </c>
      <c r="BT9" s="12">
        <v>-235097</v>
      </c>
      <c r="BU9" s="12">
        <v>-144566</v>
      </c>
      <c r="BV9" s="12">
        <v>-379663</v>
      </c>
      <c r="BW9" s="12">
        <v>-97668</v>
      </c>
      <c r="BX9" s="18">
        <v>-51488</v>
      </c>
      <c r="BY9" s="12">
        <v>-149156</v>
      </c>
      <c r="BZ9" s="12">
        <v>-84992</v>
      </c>
      <c r="CA9" s="12">
        <v>-234148</v>
      </c>
      <c r="CB9" s="12">
        <v>-154711</v>
      </c>
      <c r="CC9" s="12">
        <v>-388859</v>
      </c>
      <c r="CD9" s="12">
        <v>-68855</v>
      </c>
    </row>
    <row r="10" spans="1:82" x14ac:dyDescent="0.35">
      <c r="A10" s="2" t="s">
        <v>56</v>
      </c>
      <c r="B10" s="7">
        <v>-6511</v>
      </c>
      <c r="C10" s="7">
        <v>-6041</v>
      </c>
      <c r="D10" s="7">
        <v>-9202</v>
      </c>
      <c r="E10" s="7">
        <v>-7345</v>
      </c>
      <c r="F10" s="7">
        <v>-29099</v>
      </c>
      <c r="G10" s="7">
        <v>-6156</v>
      </c>
      <c r="H10" s="7">
        <v>-8573</v>
      </c>
      <c r="I10" s="7">
        <v>-7994</v>
      </c>
      <c r="J10" s="7">
        <v>-11800</v>
      </c>
      <c r="K10" s="7">
        <v>-34523</v>
      </c>
      <c r="L10" s="7">
        <v>-11868</v>
      </c>
      <c r="M10" s="7">
        <v>-11800</v>
      </c>
      <c r="N10" s="7">
        <v>-16998</v>
      </c>
      <c r="O10" s="7">
        <v>-22652</v>
      </c>
      <c r="P10" s="7">
        <v>-67992</v>
      </c>
      <c r="Q10" s="7">
        <v>-14331</v>
      </c>
      <c r="R10" s="7">
        <v>-10266</v>
      </c>
      <c r="S10" s="7">
        <v>-9549</v>
      </c>
      <c r="T10" s="7">
        <v>-8247</v>
      </c>
      <c r="U10" s="7">
        <v>-42035</v>
      </c>
      <c r="V10" s="7">
        <v>-10422</v>
      </c>
      <c r="W10" s="7">
        <v>-11330</v>
      </c>
      <c r="X10" s="7">
        <v>-11114</v>
      </c>
      <c r="Y10" s="7">
        <v>-10206</v>
      </c>
      <c r="Z10" s="7">
        <v>-32536</v>
      </c>
      <c r="AA10" s="7">
        <v>-8745</v>
      </c>
      <c r="AB10" s="7">
        <v>-9687</v>
      </c>
      <c r="AC10" s="7">
        <v>-10173</v>
      </c>
      <c r="AD10" s="7">
        <v>-10274</v>
      </c>
      <c r="AE10" s="7">
        <v>-38080</v>
      </c>
      <c r="AF10" s="7">
        <v>-9926</v>
      </c>
      <c r="AG10" s="7">
        <v>-9317</v>
      </c>
      <c r="AH10" s="7">
        <v>-10310</v>
      </c>
      <c r="AI10" s="7">
        <v>-10217</v>
      </c>
      <c r="AJ10" s="7">
        <v>-39770</v>
      </c>
      <c r="AK10" s="7">
        <v>-12551</v>
      </c>
      <c r="AL10" s="7">
        <v>-11041</v>
      </c>
      <c r="AM10" s="7">
        <v>-10042</v>
      </c>
      <c r="AN10" s="7">
        <v>-9260</v>
      </c>
      <c r="AO10" s="7">
        <v>-42894</v>
      </c>
      <c r="AP10" s="12">
        <v>-11046</v>
      </c>
      <c r="AQ10" s="7">
        <v>-10691</v>
      </c>
      <c r="AR10" s="7">
        <v>-10828</v>
      </c>
      <c r="AS10" s="12">
        <v>-12267</v>
      </c>
      <c r="AT10" s="12">
        <v>-44832</v>
      </c>
      <c r="AU10" s="12">
        <v>-11563</v>
      </c>
      <c r="AV10" s="12">
        <v>-13135</v>
      </c>
      <c r="AW10" s="12">
        <v>-12733</v>
      </c>
      <c r="AX10" s="12">
        <v>-14142</v>
      </c>
      <c r="AY10" s="12">
        <v>-51573</v>
      </c>
      <c r="AZ10" s="12">
        <v>-18637</v>
      </c>
      <c r="BA10" s="12">
        <v>-22480</v>
      </c>
      <c r="BB10" s="12">
        <v>-14548</v>
      </c>
      <c r="BC10" s="12">
        <v>-16183</v>
      </c>
      <c r="BD10" s="12">
        <v>-63236</v>
      </c>
      <c r="BE10" s="12">
        <v>-16293</v>
      </c>
      <c r="BF10" s="12">
        <v>-16258</v>
      </c>
      <c r="BG10" s="12">
        <v>-15765</v>
      </c>
      <c r="BH10" s="12">
        <v>-42930</v>
      </c>
      <c r="BI10" s="12">
        <v>-115452</v>
      </c>
      <c r="BJ10" s="12">
        <v>-33127</v>
      </c>
      <c r="BK10" s="12">
        <v>-43041</v>
      </c>
      <c r="BL10" s="12">
        <v>-79010</v>
      </c>
      <c r="BM10" s="12">
        <f t="shared" si="1"/>
        <v>-155178</v>
      </c>
      <c r="BN10" s="12">
        <v>-67322</v>
      </c>
      <c r="BO10" s="18">
        <f>BM10+BN10+4</f>
        <v>-222496</v>
      </c>
      <c r="BP10" s="12">
        <v>-62924</v>
      </c>
      <c r="BQ10" s="12">
        <v>-68086</v>
      </c>
      <c r="BR10" s="12">
        <v>-131010</v>
      </c>
      <c r="BS10" s="12">
        <v>-60529</v>
      </c>
      <c r="BT10" s="12">
        <v>-191539</v>
      </c>
      <c r="BU10" s="12">
        <v>-68695</v>
      </c>
      <c r="BV10" s="12">
        <v>-260230</v>
      </c>
      <c r="BW10" s="12">
        <v>-82588</v>
      </c>
      <c r="BX10" s="18">
        <v>-71391</v>
      </c>
      <c r="BY10" s="12">
        <v>-153979</v>
      </c>
      <c r="BZ10" s="12">
        <v>-74933</v>
      </c>
      <c r="CA10" s="12">
        <v>-228912</v>
      </c>
      <c r="CB10" s="12">
        <v>-56240</v>
      </c>
      <c r="CC10" s="12">
        <v>-285152</v>
      </c>
      <c r="CD10" s="12">
        <v>-68355</v>
      </c>
    </row>
    <row r="11" spans="1:82" x14ac:dyDescent="0.35">
      <c r="A11" s="2" t="s">
        <v>57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3289</v>
      </c>
      <c r="O11" s="7">
        <v>4855</v>
      </c>
      <c r="P11" s="7">
        <v>12818</v>
      </c>
      <c r="Q11" s="7">
        <v>2730</v>
      </c>
      <c r="R11" s="7">
        <v>936</v>
      </c>
      <c r="S11" s="7">
        <v>129</v>
      </c>
      <c r="T11" s="7">
        <v>116</v>
      </c>
      <c r="U11" s="7">
        <v>3911</v>
      </c>
      <c r="V11" s="7">
        <v>1556</v>
      </c>
      <c r="W11" s="7">
        <v>2193</v>
      </c>
      <c r="X11" s="7">
        <v>1375</v>
      </c>
      <c r="Y11" s="7">
        <v>-2166</v>
      </c>
      <c r="Z11" s="7">
        <v>-7290</v>
      </c>
      <c r="AA11" s="7">
        <v>-2789</v>
      </c>
      <c r="AB11" s="7">
        <v>-2183</v>
      </c>
      <c r="AC11" s="7">
        <v>-1406</v>
      </c>
      <c r="AD11" s="7">
        <v>194</v>
      </c>
      <c r="AE11" s="7">
        <v>-6184</v>
      </c>
      <c r="AF11" s="7">
        <v>-1807</v>
      </c>
      <c r="AG11" s="7">
        <v>-1723</v>
      </c>
      <c r="AH11" s="7">
        <v>-1162</v>
      </c>
      <c r="AI11" s="7">
        <v>-3248</v>
      </c>
      <c r="AJ11" s="7">
        <v>-7940</v>
      </c>
      <c r="AK11" s="7">
        <v>-2128</v>
      </c>
      <c r="AL11" s="7">
        <v>219</v>
      </c>
      <c r="AM11" s="7">
        <v>245</v>
      </c>
      <c r="AN11" s="7">
        <v>-1175</v>
      </c>
      <c r="AO11" s="7">
        <v>-2839</v>
      </c>
      <c r="AP11" s="12">
        <v>-4337</v>
      </c>
      <c r="AQ11" s="7">
        <v>-6423</v>
      </c>
      <c r="AR11" s="7">
        <v>-7904</v>
      </c>
      <c r="AS11" s="12">
        <v>-9554</v>
      </c>
      <c r="AT11" s="12">
        <v>-28218</v>
      </c>
      <c r="AU11" s="12">
        <v>-5863</v>
      </c>
      <c r="AV11" s="12">
        <v>-6868</v>
      </c>
      <c r="AW11" s="12">
        <v>-9829</v>
      </c>
      <c r="AX11" s="12">
        <v>-13400</v>
      </c>
      <c r="AY11" s="12">
        <v>-35960</v>
      </c>
      <c r="AZ11" s="12">
        <v>-5538</v>
      </c>
      <c r="BA11" s="12">
        <v>-8613</v>
      </c>
      <c r="BB11" s="12">
        <v>-5115</v>
      </c>
      <c r="BC11" s="12">
        <v>-6822</v>
      </c>
      <c r="BD11" s="12">
        <v>-26088</v>
      </c>
      <c r="BE11" s="12">
        <v>-6847</v>
      </c>
      <c r="BF11" s="12">
        <v>-7958</v>
      </c>
      <c r="BG11" s="12">
        <v>-9404</v>
      </c>
      <c r="BH11" s="12">
        <v>-21186</v>
      </c>
      <c r="BI11" s="12">
        <v>-45394</v>
      </c>
      <c r="BJ11" s="12">
        <v>-13164</v>
      </c>
      <c r="BK11" s="12">
        <v>-17266</v>
      </c>
      <c r="BL11" s="12">
        <v>-33011</v>
      </c>
      <c r="BM11" s="12">
        <f t="shared" si="1"/>
        <v>-63441</v>
      </c>
      <c r="BN11" s="12">
        <v>-34770</v>
      </c>
      <c r="BO11" s="18">
        <f>BM11+BN11+1</f>
        <v>-98210</v>
      </c>
      <c r="BP11" s="12">
        <v>-25291</v>
      </c>
      <c r="BQ11" s="12">
        <v>-23902</v>
      </c>
      <c r="BR11" s="12">
        <v>-49193</v>
      </c>
      <c r="BS11" s="12">
        <v>-18585</v>
      </c>
      <c r="BT11" s="12">
        <v>-67778</v>
      </c>
      <c r="BU11" s="12">
        <v>-16639</v>
      </c>
      <c r="BV11" s="12">
        <v>-84417</v>
      </c>
      <c r="BW11" s="12">
        <v>-33337</v>
      </c>
      <c r="BX11" s="18">
        <v>-22540</v>
      </c>
      <c r="BY11" s="12">
        <v>-55877</v>
      </c>
      <c r="BZ11" s="12">
        <v>-29477</v>
      </c>
      <c r="CA11" s="12">
        <v>-85354</v>
      </c>
      <c r="CB11" s="12">
        <v>-3906</v>
      </c>
      <c r="CC11" s="12">
        <v>-89260</v>
      </c>
      <c r="CD11" s="12">
        <v>-18967</v>
      </c>
    </row>
    <row r="12" spans="1:82" x14ac:dyDescent="0.35">
      <c r="A12" s="2" t="s">
        <v>58</v>
      </c>
      <c r="B12" s="7">
        <v>-1431</v>
      </c>
      <c r="C12" s="7">
        <v>-937</v>
      </c>
      <c r="D12" s="7">
        <v>-902</v>
      </c>
      <c r="E12" s="7">
        <v>-1316</v>
      </c>
      <c r="F12" s="7">
        <v>-4586</v>
      </c>
      <c r="G12" s="7">
        <v>-265</v>
      </c>
      <c r="H12" s="7">
        <v>-1040</v>
      </c>
      <c r="I12" s="7">
        <v>-918</v>
      </c>
      <c r="J12" s="7">
        <v>-1875</v>
      </c>
      <c r="K12" s="7">
        <v>-4098</v>
      </c>
      <c r="L12" s="7">
        <v>-1617</v>
      </c>
      <c r="M12" s="7">
        <v>-2137</v>
      </c>
      <c r="N12" s="7">
        <v>-2074</v>
      </c>
      <c r="O12" s="7">
        <v>-1534</v>
      </c>
      <c r="P12" s="7">
        <v>-7362</v>
      </c>
      <c r="Q12" s="7">
        <v>-1815</v>
      </c>
      <c r="R12" s="7">
        <v>-1610</v>
      </c>
      <c r="S12" s="7">
        <v>-1026</v>
      </c>
      <c r="T12" s="7">
        <v>-3258</v>
      </c>
      <c r="U12" s="7">
        <v>-8067</v>
      </c>
      <c r="V12" s="7">
        <v>-2431</v>
      </c>
      <c r="W12" s="7">
        <v>-1639</v>
      </c>
      <c r="X12" s="7">
        <v>-1835</v>
      </c>
      <c r="Y12" s="7">
        <v>-1710</v>
      </c>
      <c r="Z12" s="7">
        <v>-7903</v>
      </c>
      <c r="AA12" s="7">
        <v>-3655</v>
      </c>
      <c r="AB12" s="7">
        <v>-1774</v>
      </c>
      <c r="AC12" s="7">
        <v>-1869</v>
      </c>
      <c r="AD12" s="7">
        <v>-1374</v>
      </c>
      <c r="AE12" s="7">
        <v>-9471</v>
      </c>
      <c r="AF12" s="7">
        <v>-3510</v>
      </c>
      <c r="AG12" s="7">
        <v>-2065</v>
      </c>
      <c r="AH12" s="7">
        <v>-2341</v>
      </c>
      <c r="AI12" s="7">
        <v>-2812</v>
      </c>
      <c r="AJ12" s="7">
        <v>-10728</v>
      </c>
      <c r="AK12" s="7">
        <v>-5864</v>
      </c>
      <c r="AL12" s="7">
        <v>-2502</v>
      </c>
      <c r="AM12" s="7">
        <v>-2302</v>
      </c>
      <c r="AN12" s="7">
        <v>-2686</v>
      </c>
      <c r="AO12" s="7">
        <v>-13354</v>
      </c>
      <c r="AP12" s="12">
        <v>-4979</v>
      </c>
      <c r="AQ12" s="7">
        <v>-2288</v>
      </c>
      <c r="AR12" s="7">
        <v>-3381</v>
      </c>
      <c r="AS12" s="12">
        <v>-2338</v>
      </c>
      <c r="AT12" s="12">
        <v>-12986</v>
      </c>
      <c r="AU12" s="12">
        <v>-6738</v>
      </c>
      <c r="AV12" s="12">
        <v>-2408</v>
      </c>
      <c r="AW12" s="12">
        <v>-2349</v>
      </c>
      <c r="AX12" s="12">
        <v>-2486</v>
      </c>
      <c r="AY12" s="12">
        <v>-13981</v>
      </c>
      <c r="AZ12" s="12">
        <v>-6547</v>
      </c>
      <c r="BA12" s="12">
        <v>-1570</v>
      </c>
      <c r="BB12" s="12">
        <v>-2654</v>
      </c>
      <c r="BC12" s="12">
        <v>-3056</v>
      </c>
      <c r="BD12" s="12">
        <v>-13827</v>
      </c>
      <c r="BE12" s="12">
        <v>-6350</v>
      </c>
      <c r="BF12" s="12">
        <v>-2534</v>
      </c>
      <c r="BG12" s="12">
        <v>-2583</v>
      </c>
      <c r="BH12" s="12">
        <v>-3249</v>
      </c>
      <c r="BI12" s="12">
        <v>-14716</v>
      </c>
      <c r="BJ12" s="12">
        <v>-8014</v>
      </c>
      <c r="BK12" s="12">
        <v>-3153</v>
      </c>
      <c r="BL12" s="12">
        <v>-3166</v>
      </c>
      <c r="BM12" s="12">
        <f t="shared" si="1"/>
        <v>-14333</v>
      </c>
      <c r="BN12" s="12">
        <v>-4620</v>
      </c>
      <c r="BO12" s="18">
        <f>BM12+BN12</f>
        <v>-18953</v>
      </c>
      <c r="BP12" s="12">
        <v>-11822</v>
      </c>
      <c r="BQ12" s="12">
        <v>-3684</v>
      </c>
      <c r="BR12" s="12">
        <v>-15506</v>
      </c>
      <c r="BS12" s="12">
        <v>-3965</v>
      </c>
      <c r="BT12" s="12">
        <v>-19471</v>
      </c>
      <c r="BU12" s="12">
        <v>-4903</v>
      </c>
      <c r="BV12" s="12">
        <v>-24374</v>
      </c>
      <c r="BW12" s="12">
        <v>-10472</v>
      </c>
      <c r="BX12" s="18">
        <v>-4163</v>
      </c>
      <c r="BY12" s="12">
        <v>-14635</v>
      </c>
      <c r="BZ12" s="12">
        <v>-4503</v>
      </c>
      <c r="CA12" s="12">
        <v>-19138</v>
      </c>
      <c r="CB12" s="12">
        <v>-4470</v>
      </c>
      <c r="CC12" s="12">
        <v>-23608</v>
      </c>
      <c r="CD12" s="12">
        <v>-10307</v>
      </c>
    </row>
    <row r="13" spans="1:82" x14ac:dyDescent="0.35">
      <c r="A13" t="s">
        <v>59</v>
      </c>
      <c r="B13" s="7">
        <v>654</v>
      </c>
      <c r="C13" s="7">
        <v>641</v>
      </c>
      <c r="D13" s="7">
        <v>124</v>
      </c>
      <c r="E13" s="7">
        <v>1252</v>
      </c>
      <c r="F13" s="7">
        <v>2671</v>
      </c>
      <c r="G13" s="7">
        <v>1218</v>
      </c>
      <c r="H13" s="7">
        <v>1197</v>
      </c>
      <c r="I13" s="7">
        <v>-2383</v>
      </c>
      <c r="J13" s="7">
        <v>1572</v>
      </c>
      <c r="K13" s="7">
        <v>1604</v>
      </c>
      <c r="L13" s="7">
        <v>-783</v>
      </c>
      <c r="M13" s="7">
        <v>-571</v>
      </c>
      <c r="N13" s="7">
        <v>1258</v>
      </c>
      <c r="O13" s="7">
        <v>2000</v>
      </c>
      <c r="P13" s="7">
        <v>1904</v>
      </c>
      <c r="Q13" s="7">
        <v>625</v>
      </c>
      <c r="R13" s="7">
        <v>3198</v>
      </c>
      <c r="S13" s="7">
        <v>403</v>
      </c>
      <c r="T13" s="7">
        <v>1148</v>
      </c>
      <c r="U13" s="7">
        <v>5374</v>
      </c>
      <c r="V13" s="7">
        <v>525</v>
      </c>
      <c r="W13" s="7">
        <v>1637</v>
      </c>
      <c r="X13" s="7">
        <v>-1698</v>
      </c>
      <c r="Y13" s="7">
        <v>449</v>
      </c>
      <c r="Z13" s="7">
        <v>913</v>
      </c>
      <c r="AA13" s="7">
        <v>-1235</v>
      </c>
      <c r="AB13" s="7">
        <v>574</v>
      </c>
      <c r="AC13" s="7">
        <v>-491</v>
      </c>
      <c r="AD13" s="7">
        <v>-2065</v>
      </c>
      <c r="AE13" s="7">
        <v>-3217</v>
      </c>
      <c r="AF13" s="7">
        <v>-767</v>
      </c>
      <c r="AG13" s="7">
        <v>-1364</v>
      </c>
      <c r="AH13" s="7">
        <v>-400</v>
      </c>
      <c r="AI13" s="7">
        <v>5415</v>
      </c>
      <c r="AJ13" s="7">
        <v>2884</v>
      </c>
      <c r="AK13" s="7">
        <v>-3233</v>
      </c>
      <c r="AL13" s="7">
        <v>-583</v>
      </c>
      <c r="AM13" s="7">
        <v>-2911</v>
      </c>
      <c r="AN13" s="7">
        <v>27250</v>
      </c>
      <c r="AO13" s="7">
        <v>20523</v>
      </c>
      <c r="AP13" s="12">
        <v>-1246</v>
      </c>
      <c r="AQ13" s="7">
        <v>1019</v>
      </c>
      <c r="AR13" s="7">
        <v>326</v>
      </c>
      <c r="AS13" s="12">
        <v>92300</v>
      </c>
      <c r="AT13" s="12">
        <v>92399</v>
      </c>
      <c r="AU13" s="12">
        <v>910</v>
      </c>
      <c r="AV13" s="12">
        <v>3126</v>
      </c>
      <c r="AW13" s="18">
        <v>1290</v>
      </c>
      <c r="AX13" s="18">
        <v>26661</v>
      </c>
      <c r="AY13" s="18">
        <v>31987</v>
      </c>
      <c r="AZ13" s="12">
        <v>-2202</v>
      </c>
      <c r="BA13" s="18">
        <v>2808</v>
      </c>
      <c r="BB13" s="18">
        <v>6701</v>
      </c>
      <c r="BC13" s="18">
        <v>24345</v>
      </c>
      <c r="BD13" s="18">
        <v>31651</v>
      </c>
      <c r="BE13" s="18">
        <v>452</v>
      </c>
      <c r="BF13" s="12">
        <v>189</v>
      </c>
      <c r="BG13" s="12">
        <v>-793</v>
      </c>
      <c r="BH13" s="12">
        <v>14916</v>
      </c>
      <c r="BI13" s="12">
        <v>14763</v>
      </c>
      <c r="BJ13" s="18">
        <v>2395</v>
      </c>
      <c r="BK13" s="18">
        <v>6642</v>
      </c>
      <c r="BL13" s="18">
        <v>105686</v>
      </c>
      <c r="BM13" s="18">
        <v>114723</v>
      </c>
      <c r="BN13" s="18">
        <v>19840</v>
      </c>
      <c r="BO13" s="18">
        <v>134563</v>
      </c>
      <c r="BP13" s="12">
        <v>-4226</v>
      </c>
      <c r="BQ13" s="12">
        <v>55476</v>
      </c>
      <c r="BR13" s="12">
        <v>51250</v>
      </c>
      <c r="BS13" s="12">
        <v>9182</v>
      </c>
      <c r="BT13" s="12">
        <v>60432</v>
      </c>
      <c r="BU13" s="12">
        <v>3691</v>
      </c>
      <c r="BV13" s="12">
        <v>64123</v>
      </c>
      <c r="BW13" s="12">
        <v>2250</v>
      </c>
      <c r="BX13" s="12">
        <v>43633</v>
      </c>
      <c r="BY13" s="12">
        <v>45883</v>
      </c>
      <c r="BZ13" s="12">
        <v>1856</v>
      </c>
      <c r="CA13" s="12">
        <v>47739</v>
      </c>
      <c r="CB13" s="12">
        <v>-9488</v>
      </c>
      <c r="CC13" s="12">
        <v>38252</v>
      </c>
      <c r="CD13" s="12">
        <v>-178</v>
      </c>
    </row>
    <row r="14" spans="1:82" x14ac:dyDescent="0.3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2"/>
      <c r="AQ14" s="7"/>
      <c r="AR14" s="7"/>
      <c r="AS14" s="12"/>
      <c r="AT14" s="12"/>
      <c r="AU14" s="12"/>
      <c r="AV14" s="12"/>
      <c r="AW14" s="18"/>
      <c r="AX14" s="18"/>
      <c r="AY14" s="18"/>
      <c r="AZ14" s="12"/>
      <c r="BA14" s="18"/>
      <c r="BB14" s="18"/>
      <c r="BC14" s="18"/>
      <c r="BD14" s="18"/>
      <c r="BE14" s="18"/>
      <c r="BF14" s="12"/>
      <c r="BG14" s="12"/>
      <c r="BH14" s="12"/>
      <c r="BI14" s="12"/>
      <c r="BJ14" s="18"/>
      <c r="BK14" s="18"/>
      <c r="BL14" s="18">
        <v>-8909</v>
      </c>
      <c r="BM14" s="18">
        <v>-8909</v>
      </c>
      <c r="BN14" s="18">
        <v>-5923</v>
      </c>
      <c r="BO14" s="18">
        <v>-14832</v>
      </c>
      <c r="BP14" s="12">
        <v>-7039</v>
      </c>
      <c r="BQ14" s="12">
        <v>-9356</v>
      </c>
      <c r="BR14" s="12">
        <v>-16395</v>
      </c>
      <c r="BS14" s="12">
        <v>-52</v>
      </c>
      <c r="BT14" s="12">
        <v>-16447</v>
      </c>
      <c r="BU14" s="12">
        <v>-9414</v>
      </c>
      <c r="BV14" s="12">
        <v>-25861</v>
      </c>
      <c r="BW14" s="12">
        <v>-6032</v>
      </c>
      <c r="BX14" s="12">
        <v>-5567</v>
      </c>
      <c r="BY14" s="12">
        <v>-11599</v>
      </c>
      <c r="BZ14" s="12">
        <v>-8715</v>
      </c>
      <c r="CA14" s="12">
        <v>-20314</v>
      </c>
      <c r="CB14" s="12">
        <v>-5832</v>
      </c>
      <c r="CC14" s="12">
        <v>-26146</v>
      </c>
      <c r="CD14" s="12">
        <v>0</v>
      </c>
    </row>
    <row r="15" spans="1:82" x14ac:dyDescent="0.35">
      <c r="A15" s="1" t="s">
        <v>60</v>
      </c>
      <c r="B15" s="6">
        <v>82668</v>
      </c>
      <c r="C15" s="6">
        <v>-40065</v>
      </c>
      <c r="D15" s="6">
        <v>-72676</v>
      </c>
      <c r="E15" s="6">
        <v>41527</v>
      </c>
      <c r="F15" s="6">
        <v>11454</v>
      </c>
      <c r="G15" s="6">
        <v>-15817</v>
      </c>
      <c r="H15" s="6">
        <v>57276</v>
      </c>
      <c r="I15" s="6">
        <v>53725</v>
      </c>
      <c r="J15" s="6">
        <f>SUM(J8:J13)</f>
        <v>30859</v>
      </c>
      <c r="K15" s="6">
        <f>SUM(K8:K13)</f>
        <v>126043</v>
      </c>
      <c r="L15" s="6">
        <v>52132</v>
      </c>
      <c r="M15" s="6">
        <v>52818</v>
      </c>
      <c r="N15" s="6">
        <v>100545</v>
      </c>
      <c r="O15" s="6">
        <v>51385</v>
      </c>
      <c r="P15" s="6">
        <v>256880</v>
      </c>
      <c r="Q15" s="6">
        <v>75236</v>
      </c>
      <c r="R15" s="6">
        <v>-17540</v>
      </c>
      <c r="S15" s="6">
        <v>48379</v>
      </c>
      <c r="T15" s="6">
        <v>39046</v>
      </c>
      <c r="U15" s="6">
        <v>145121</v>
      </c>
      <c r="V15" s="6">
        <v>45150</v>
      </c>
      <c r="W15" s="6">
        <v>72096</v>
      </c>
      <c r="X15" s="6">
        <v>30928</v>
      </c>
      <c r="Y15" s="6">
        <v>2305</v>
      </c>
      <c r="Z15" s="6">
        <v>150479</v>
      </c>
      <c r="AA15" s="6">
        <v>86448</v>
      </c>
      <c r="AB15" s="6">
        <v>25306</v>
      </c>
      <c r="AC15" s="6">
        <v>18840</v>
      </c>
      <c r="AD15" s="6">
        <v>60204</v>
      </c>
      <c r="AE15" s="6">
        <v>190798</v>
      </c>
      <c r="AF15" s="6">
        <v>85346</v>
      </c>
      <c r="AG15" s="6">
        <v>74691</v>
      </c>
      <c r="AH15" s="6">
        <v>55812</v>
      </c>
      <c r="AI15" s="6">
        <v>69648</v>
      </c>
      <c r="AJ15" s="6">
        <v>285497</v>
      </c>
      <c r="AK15" s="6">
        <v>28464</v>
      </c>
      <c r="AL15" s="6">
        <v>-103629</v>
      </c>
      <c r="AM15" s="6">
        <v>1581</v>
      </c>
      <c r="AN15" s="6">
        <v>183899</v>
      </c>
      <c r="AO15" s="6">
        <v>110315</v>
      </c>
      <c r="AP15" s="6">
        <v>147225</v>
      </c>
      <c r="AQ15" s="6">
        <v>137994</v>
      </c>
      <c r="AR15" s="5">
        <v>114095</v>
      </c>
      <c r="AS15" s="14">
        <v>194139</v>
      </c>
      <c r="AT15" s="14">
        <v>593453</v>
      </c>
      <c r="AU15" s="14">
        <v>267441</v>
      </c>
      <c r="AV15" s="14">
        <v>264583</v>
      </c>
      <c r="AW15" s="15">
        <v>68755</v>
      </c>
      <c r="AX15" s="15">
        <v>56978</v>
      </c>
      <c r="AY15" s="15">
        <v>657757</v>
      </c>
      <c r="AZ15" s="15">
        <v>185902</v>
      </c>
      <c r="BA15" s="15">
        <v>348790</v>
      </c>
      <c r="BB15" s="14">
        <v>-109875</v>
      </c>
      <c r="BC15" s="14">
        <v>133892</v>
      </c>
      <c r="BD15" s="14">
        <v>558712</v>
      </c>
      <c r="BE15" s="14">
        <v>256737</v>
      </c>
      <c r="BF15" s="14">
        <v>324046</v>
      </c>
      <c r="BG15" s="14">
        <v>-34991</v>
      </c>
      <c r="BH15" s="14">
        <v>235136</v>
      </c>
      <c r="BI15" s="14">
        <v>780930</v>
      </c>
      <c r="BJ15" s="14">
        <f>BJ8+BJ9+BJ10+BJ12+BJ13</f>
        <v>605237</v>
      </c>
      <c r="BK15" s="14">
        <f>BK8+BK9+BK10+BK12+BK13</f>
        <v>719891</v>
      </c>
      <c r="BL15" s="14">
        <f>BL8+BL9+BL10+BL12+BL13+BL14</f>
        <v>185380</v>
      </c>
      <c r="BM15" s="14">
        <f>BM8+BM9+BM10+BM12+BM13+BM14</f>
        <v>1510508</v>
      </c>
      <c r="BN15" s="14">
        <f>BN8+BN9+BN10+BN12+BN13+BN14-1</f>
        <v>402854</v>
      </c>
      <c r="BO15" s="14">
        <f>BO8+BO9+BO10+BO12+BO13+BO14</f>
        <v>1913367</v>
      </c>
      <c r="BP15" s="14">
        <f>BP8+BP9+BP10+BP12+BP13+BP14</f>
        <v>1315602</v>
      </c>
      <c r="BQ15" s="14">
        <f t="shared" ref="BQ15:CD15" si="4">BQ8+BQ9+BQ10+BQ12+BQ13+BQ14</f>
        <v>808314</v>
      </c>
      <c r="BR15" s="14">
        <f t="shared" si="4"/>
        <v>2123916</v>
      </c>
      <c r="BS15" s="14">
        <f t="shared" si="4"/>
        <v>48233</v>
      </c>
      <c r="BT15" s="14">
        <f t="shared" si="4"/>
        <v>2172150</v>
      </c>
      <c r="BU15" s="14">
        <f t="shared" si="4"/>
        <v>333142</v>
      </c>
      <c r="BV15" s="14">
        <f t="shared" si="4"/>
        <v>2505294</v>
      </c>
      <c r="BW15" s="14">
        <f t="shared" si="4"/>
        <v>973276</v>
      </c>
      <c r="BX15" s="14">
        <f t="shared" si="4"/>
        <v>644004</v>
      </c>
      <c r="BY15" s="14">
        <f t="shared" si="4"/>
        <v>1617280</v>
      </c>
      <c r="BZ15" s="14">
        <f t="shared" si="4"/>
        <v>414965</v>
      </c>
      <c r="CA15" s="14">
        <f t="shared" si="4"/>
        <v>2032245</v>
      </c>
      <c r="CB15" s="14">
        <f t="shared" si="4"/>
        <v>-97066</v>
      </c>
      <c r="CC15" s="14">
        <f t="shared" si="4"/>
        <v>1935181</v>
      </c>
      <c r="CD15" s="14">
        <f t="shared" si="4"/>
        <v>498521</v>
      </c>
    </row>
    <row r="16" spans="1:82" x14ac:dyDescent="0.35">
      <c r="A16" s="2" t="s">
        <v>61</v>
      </c>
      <c r="B16" s="7">
        <v>9142</v>
      </c>
      <c r="C16" s="7">
        <v>17681</v>
      </c>
      <c r="D16" s="7">
        <v>18934</v>
      </c>
      <c r="E16" s="7">
        <v>12453</v>
      </c>
      <c r="F16" s="7">
        <v>58210</v>
      </c>
      <c r="G16" s="7">
        <v>13789</v>
      </c>
      <c r="H16" s="7">
        <v>18247</v>
      </c>
      <c r="I16" s="7">
        <v>18965</v>
      </c>
      <c r="J16" s="7">
        <v>27295</v>
      </c>
      <c r="K16" s="7">
        <v>78296</v>
      </c>
      <c r="L16" s="7">
        <v>9465</v>
      </c>
      <c r="M16" s="7">
        <v>15648</v>
      </c>
      <c r="N16" s="7">
        <v>18331</v>
      </c>
      <c r="O16" s="7">
        <v>25551</v>
      </c>
      <c r="P16" s="7">
        <v>68995</v>
      </c>
      <c r="Q16" s="7">
        <v>21135</v>
      </c>
      <c r="R16" s="7">
        <v>23158</v>
      </c>
      <c r="S16" s="7">
        <v>27675</v>
      </c>
      <c r="T16" s="7">
        <v>26098</v>
      </c>
      <c r="U16" s="7">
        <v>98066</v>
      </c>
      <c r="V16" s="7">
        <v>19150</v>
      </c>
      <c r="W16" s="7">
        <v>34075</v>
      </c>
      <c r="X16" s="7">
        <v>34121</v>
      </c>
      <c r="Y16" s="7">
        <v>28171</v>
      </c>
      <c r="Z16" s="7">
        <v>115517</v>
      </c>
      <c r="AA16" s="7">
        <v>17169</v>
      </c>
      <c r="AB16" s="7">
        <v>32057</v>
      </c>
      <c r="AC16" s="7">
        <v>27356</v>
      </c>
      <c r="AD16" s="7">
        <v>23337</v>
      </c>
      <c r="AE16" s="7">
        <v>99919</v>
      </c>
      <c r="AF16" s="7">
        <v>17007</v>
      </c>
      <c r="AG16" s="7">
        <v>33235</v>
      </c>
      <c r="AH16" s="7">
        <v>24577</v>
      </c>
      <c r="AI16" s="7">
        <v>31984</v>
      </c>
      <c r="AJ16" s="7">
        <v>106803</v>
      </c>
      <c r="AK16" s="7">
        <v>20283</v>
      </c>
      <c r="AL16" s="7">
        <v>33175</v>
      </c>
      <c r="AM16" s="7">
        <v>23626</v>
      </c>
      <c r="AN16" s="7">
        <v>27158</v>
      </c>
      <c r="AO16" s="7">
        <v>104242</v>
      </c>
      <c r="AP16" s="12">
        <v>13233</v>
      </c>
      <c r="AQ16" s="7">
        <v>24486</v>
      </c>
      <c r="AR16" s="7">
        <v>27384</v>
      </c>
      <c r="AS16" s="12">
        <v>26403</v>
      </c>
      <c r="AT16" s="12">
        <v>91506</v>
      </c>
      <c r="AU16" s="12">
        <v>15045</v>
      </c>
      <c r="AV16" s="12">
        <v>25833</v>
      </c>
      <c r="AW16" s="18">
        <v>23093</v>
      </c>
      <c r="AX16" s="18">
        <v>47260</v>
      </c>
      <c r="AY16" s="18">
        <v>111231</v>
      </c>
      <c r="AZ16" s="18">
        <v>20336</v>
      </c>
      <c r="BA16" s="18">
        <v>21798</v>
      </c>
      <c r="BB16" s="18">
        <v>33681</v>
      </c>
      <c r="BC16" s="18">
        <v>29994</v>
      </c>
      <c r="BD16" s="18">
        <v>105810</v>
      </c>
      <c r="BE16" s="18">
        <v>19234</v>
      </c>
      <c r="BF16" s="18">
        <v>30257</v>
      </c>
      <c r="BG16" s="18">
        <v>35491</v>
      </c>
      <c r="BH16" s="18">
        <v>34704</v>
      </c>
      <c r="BI16" s="18">
        <v>119686</v>
      </c>
      <c r="BJ16" s="18">
        <v>25377</v>
      </c>
      <c r="BK16" s="18">
        <v>35380</v>
      </c>
      <c r="BL16" s="18">
        <v>38798</v>
      </c>
      <c r="BM16" s="18">
        <f>BJ16+BK16+BL16</f>
        <v>99555</v>
      </c>
      <c r="BN16" s="18">
        <v>46315</v>
      </c>
      <c r="BO16" s="18">
        <f>BM16+BN16</f>
        <v>145870</v>
      </c>
      <c r="BP16" s="18">
        <v>50527</v>
      </c>
      <c r="BQ16" s="18">
        <v>38850</v>
      </c>
      <c r="BR16" s="18">
        <f t="shared" ref="BR16:BR29" si="5">SUM(BP16:BQ16)</f>
        <v>89377</v>
      </c>
      <c r="BS16" s="18">
        <v>35744</v>
      </c>
      <c r="BT16" s="18">
        <f t="shared" ref="BT16:BT29" si="6">BR16+BS16</f>
        <v>125121</v>
      </c>
      <c r="BU16" s="18">
        <v>52693</v>
      </c>
      <c r="BV16" s="18">
        <f>BT16+BU16-1</f>
        <v>177813</v>
      </c>
      <c r="BW16" s="18">
        <v>48283</v>
      </c>
      <c r="BX16" s="18">
        <v>51904</v>
      </c>
      <c r="BY16" s="18">
        <f t="shared" ref="BY16:CC16" si="7">SUM(BW16:BX16)</f>
        <v>100187</v>
      </c>
      <c r="BZ16" s="18">
        <v>57371</v>
      </c>
      <c r="CA16" s="18">
        <f t="shared" si="7"/>
        <v>157558</v>
      </c>
      <c r="CB16" s="18">
        <v>62130</v>
      </c>
      <c r="CC16" s="18">
        <f t="shared" si="7"/>
        <v>219688</v>
      </c>
      <c r="CD16" s="18">
        <v>60263</v>
      </c>
    </row>
    <row r="17" spans="1:82" x14ac:dyDescent="0.35">
      <c r="A17" s="2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12">
        <v>2570</v>
      </c>
      <c r="BA17" s="12">
        <v>6867</v>
      </c>
      <c r="BB17" s="12">
        <v>18251</v>
      </c>
      <c r="BC17" s="12">
        <v>15648</v>
      </c>
      <c r="BD17" s="12">
        <v>43336</v>
      </c>
      <c r="BE17" s="12">
        <v>11559</v>
      </c>
      <c r="BF17" s="12">
        <v>14353</v>
      </c>
      <c r="BG17" s="12">
        <v>23545</v>
      </c>
      <c r="BH17" s="12">
        <v>24206</v>
      </c>
      <c r="BI17" s="12">
        <v>73664</v>
      </c>
      <c r="BJ17" s="12">
        <v>18608</v>
      </c>
      <c r="BK17" s="12">
        <v>21574</v>
      </c>
      <c r="BL17" s="12">
        <v>46673</v>
      </c>
      <c r="BM17" s="12">
        <v>86855</v>
      </c>
      <c r="BN17" s="12">
        <v>46431</v>
      </c>
      <c r="BO17" s="18">
        <v>133286</v>
      </c>
      <c r="BP17" s="12">
        <v>76167</v>
      </c>
      <c r="BQ17" s="12">
        <v>65978</v>
      </c>
      <c r="BR17" s="12">
        <v>142143</v>
      </c>
      <c r="BS17" s="12">
        <v>65963</v>
      </c>
      <c r="BT17" s="12">
        <v>208106</v>
      </c>
      <c r="BU17" s="12">
        <v>9413</v>
      </c>
      <c r="BV17" s="12">
        <v>217519</v>
      </c>
      <c r="BW17" s="12">
        <v>73509</v>
      </c>
      <c r="BX17" s="12">
        <v>60447</v>
      </c>
      <c r="BY17" s="12">
        <v>133957</v>
      </c>
      <c r="BZ17" s="12">
        <v>77254</v>
      </c>
      <c r="CA17" s="12">
        <v>211210</v>
      </c>
      <c r="CB17" s="12">
        <v>88333</v>
      </c>
      <c r="CC17" s="12">
        <f>CA17+CB17-1</f>
        <v>299542</v>
      </c>
      <c r="CD17" s="12">
        <v>71972</v>
      </c>
    </row>
    <row r="18" spans="1:82" x14ac:dyDescent="0.35">
      <c r="A18" s="1" t="s">
        <v>62</v>
      </c>
      <c r="B18" s="6">
        <v>91810</v>
      </c>
      <c r="C18" s="6">
        <v>-22384</v>
      </c>
      <c r="D18" s="6">
        <v>-53742</v>
      </c>
      <c r="E18" s="20">
        <v>53980</v>
      </c>
      <c r="F18" s="6">
        <v>69664</v>
      </c>
      <c r="G18" s="20">
        <v>-2028</v>
      </c>
      <c r="H18" s="20">
        <v>75523</v>
      </c>
      <c r="I18" s="20">
        <v>72690</v>
      </c>
      <c r="J18" s="20">
        <f>J15+J16</f>
        <v>58154</v>
      </c>
      <c r="K18" s="20">
        <f>K15+K16</f>
        <v>204339</v>
      </c>
      <c r="L18" s="6">
        <v>61597</v>
      </c>
      <c r="M18" s="6">
        <v>68466</v>
      </c>
      <c r="N18" s="6">
        <v>118876</v>
      </c>
      <c r="O18" s="6">
        <v>76936</v>
      </c>
      <c r="P18" s="6">
        <v>325875</v>
      </c>
      <c r="Q18" s="6">
        <v>96371</v>
      </c>
      <c r="R18" s="6">
        <v>5618</v>
      </c>
      <c r="S18" s="6">
        <v>76054</v>
      </c>
      <c r="T18" s="6">
        <v>65144</v>
      </c>
      <c r="U18" s="6">
        <v>243187</v>
      </c>
      <c r="V18" s="6">
        <v>64300</v>
      </c>
      <c r="W18" s="6">
        <v>106171</v>
      </c>
      <c r="X18" s="6">
        <v>65049</v>
      </c>
      <c r="Y18" s="6">
        <v>30476</v>
      </c>
      <c r="Z18" s="6">
        <v>265996</v>
      </c>
      <c r="AA18" s="6">
        <v>103617</v>
      </c>
      <c r="AB18" s="6">
        <v>57363</v>
      </c>
      <c r="AC18" s="6">
        <v>46196</v>
      </c>
      <c r="AD18" s="6">
        <v>83541</v>
      </c>
      <c r="AE18" s="6">
        <v>290717</v>
      </c>
      <c r="AF18" s="6">
        <v>102353</v>
      </c>
      <c r="AG18" s="6">
        <v>107926</v>
      </c>
      <c r="AH18" s="6">
        <v>80389</v>
      </c>
      <c r="AI18" s="6">
        <v>101633</v>
      </c>
      <c r="AJ18" s="6">
        <v>392301</v>
      </c>
      <c r="AK18" s="6">
        <v>48747</v>
      </c>
      <c r="AL18" s="6">
        <v>-70454</v>
      </c>
      <c r="AM18" s="6">
        <v>25207</v>
      </c>
      <c r="AN18" s="6">
        <v>211057</v>
      </c>
      <c r="AO18" s="6">
        <v>214557</v>
      </c>
      <c r="AP18" s="14">
        <v>160458</v>
      </c>
      <c r="AQ18" s="14">
        <v>162480</v>
      </c>
      <c r="AR18" s="14">
        <v>141479</v>
      </c>
      <c r="AS18" s="14">
        <v>220542</v>
      </c>
      <c r="AT18" s="14">
        <v>684959</v>
      </c>
      <c r="AU18" s="14">
        <v>282486</v>
      </c>
      <c r="AV18" s="14">
        <v>290416</v>
      </c>
      <c r="AW18" s="15">
        <v>91848</v>
      </c>
      <c r="AX18" s="15">
        <v>104238</v>
      </c>
      <c r="AY18" s="15">
        <v>768988</v>
      </c>
      <c r="AZ18" s="15">
        <f>SUM(AZ15:AZ17)</f>
        <v>208808</v>
      </c>
      <c r="BA18" s="15">
        <f t="shared" ref="BA18:CB18" si="8">SUM(BA15:BA17)</f>
        <v>377455</v>
      </c>
      <c r="BB18" s="15">
        <f t="shared" si="8"/>
        <v>-57943</v>
      </c>
      <c r="BC18" s="15">
        <f t="shared" si="8"/>
        <v>179534</v>
      </c>
      <c r="BD18" s="15">
        <f t="shared" si="8"/>
        <v>707858</v>
      </c>
      <c r="BE18" s="15">
        <f t="shared" si="8"/>
        <v>287530</v>
      </c>
      <c r="BF18" s="15">
        <f t="shared" si="8"/>
        <v>368656</v>
      </c>
      <c r="BG18" s="15">
        <f t="shared" si="8"/>
        <v>24045</v>
      </c>
      <c r="BH18" s="15">
        <f t="shared" si="8"/>
        <v>294046</v>
      </c>
      <c r="BI18" s="15">
        <f t="shared" si="8"/>
        <v>974280</v>
      </c>
      <c r="BJ18" s="15">
        <f t="shared" si="8"/>
        <v>649222</v>
      </c>
      <c r="BK18" s="15">
        <f t="shared" si="8"/>
        <v>776845</v>
      </c>
      <c r="BL18" s="15">
        <f t="shared" si="8"/>
        <v>270851</v>
      </c>
      <c r="BM18" s="15">
        <f t="shared" si="8"/>
        <v>1696918</v>
      </c>
      <c r="BN18" s="15">
        <f t="shared" si="8"/>
        <v>495600</v>
      </c>
      <c r="BO18" s="15">
        <f t="shared" si="8"/>
        <v>2192523</v>
      </c>
      <c r="BP18" s="15">
        <f t="shared" si="8"/>
        <v>1442296</v>
      </c>
      <c r="BQ18" s="15">
        <f t="shared" si="8"/>
        <v>913142</v>
      </c>
      <c r="BR18" s="15">
        <f t="shared" si="8"/>
        <v>2355436</v>
      </c>
      <c r="BS18" s="15">
        <f t="shared" si="8"/>
        <v>149940</v>
      </c>
      <c r="BT18" s="15">
        <f t="shared" si="8"/>
        <v>2505377</v>
      </c>
      <c r="BU18" s="15">
        <f t="shared" si="8"/>
        <v>395248</v>
      </c>
      <c r="BV18" s="15">
        <f t="shared" si="8"/>
        <v>2900626</v>
      </c>
      <c r="BW18" s="15">
        <f t="shared" si="8"/>
        <v>1095068</v>
      </c>
      <c r="BX18" s="15">
        <f t="shared" si="8"/>
        <v>756355</v>
      </c>
      <c r="BY18" s="15">
        <f t="shared" si="8"/>
        <v>1851424</v>
      </c>
      <c r="BZ18" s="15">
        <f t="shared" si="8"/>
        <v>549590</v>
      </c>
      <c r="CA18" s="15">
        <f t="shared" si="8"/>
        <v>2401013</v>
      </c>
      <c r="CB18" s="15">
        <f t="shared" si="8"/>
        <v>53397</v>
      </c>
      <c r="CC18" s="15">
        <f>SUM(CC15:CC17)</f>
        <v>2454411</v>
      </c>
      <c r="CD18" s="15">
        <f>SUM(CD15:CD17)</f>
        <v>630756</v>
      </c>
    </row>
    <row r="19" spans="1:82" x14ac:dyDescent="0.35">
      <c r="A19" s="2" t="s">
        <v>94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594</v>
      </c>
      <c r="S19" s="7">
        <v>-47940</v>
      </c>
      <c r="T19" s="7">
        <v>-17613</v>
      </c>
      <c r="U19" s="7">
        <v>-134331</v>
      </c>
      <c r="V19" s="7">
        <v>-9243</v>
      </c>
      <c r="W19" s="7">
        <v>-64472</v>
      </c>
      <c r="X19" s="7">
        <v>-54625</v>
      </c>
      <c r="Y19" s="7">
        <v>-17952</v>
      </c>
      <c r="Z19" s="7">
        <v>-146292</v>
      </c>
      <c r="AA19" s="7">
        <v>-94199</v>
      </c>
      <c r="AB19" s="7">
        <v>-29837</v>
      </c>
      <c r="AC19" s="7">
        <v>-16503</v>
      </c>
      <c r="AD19" s="7">
        <v>-22632</v>
      </c>
      <c r="AE19" s="7">
        <v>-163171</v>
      </c>
      <c r="AF19" s="7">
        <v>-94276</v>
      </c>
      <c r="AG19" s="7">
        <v>-77989</v>
      </c>
      <c r="AH19" s="7">
        <v>-76398</v>
      </c>
      <c r="AI19" s="7">
        <v>-31167</v>
      </c>
      <c r="AJ19" s="7">
        <v>-279830</v>
      </c>
      <c r="AK19" s="7">
        <v>-87159</v>
      </c>
      <c r="AL19" s="7">
        <v>77987</v>
      </c>
      <c r="AM19" s="7">
        <v>5896</v>
      </c>
      <c r="AN19" s="7">
        <v>-54428</v>
      </c>
      <c r="AO19" s="7">
        <v>-57704</v>
      </c>
      <c r="AP19" s="12">
        <v>-109390</v>
      </c>
      <c r="AQ19" s="7">
        <v>-129921</v>
      </c>
      <c r="AR19" s="7">
        <v>-101442</v>
      </c>
      <c r="AS19" s="12">
        <v>-21094</v>
      </c>
      <c r="AT19" s="12">
        <v>-361847</v>
      </c>
      <c r="AU19" s="12">
        <v>-239407</v>
      </c>
      <c r="AV19" s="12">
        <v>-288258</v>
      </c>
      <c r="AW19" s="12">
        <v>-129134</v>
      </c>
      <c r="AX19" s="12">
        <v>-67492</v>
      </c>
      <c r="AY19" s="12">
        <v>-724291</v>
      </c>
      <c r="AZ19" s="12">
        <v>-146497</v>
      </c>
      <c r="BA19" s="12">
        <v>-393743</v>
      </c>
      <c r="BB19" s="12">
        <v>121797</v>
      </c>
      <c r="BC19" s="12">
        <v>-86308</v>
      </c>
      <c r="BD19" s="12">
        <v>-504751</v>
      </c>
      <c r="BE19" s="12">
        <v>-294174</v>
      </c>
      <c r="BF19" s="12">
        <v>-421280</v>
      </c>
      <c r="BG19" s="12">
        <v>25250</v>
      </c>
      <c r="BH19" s="12">
        <v>-85329</v>
      </c>
      <c r="BI19" s="12">
        <v>-775533</v>
      </c>
      <c r="BJ19" s="12">
        <v>-737890</v>
      </c>
      <c r="BK19" s="12">
        <v>-644044</v>
      </c>
      <c r="BL19" s="12">
        <v>-201128</v>
      </c>
      <c r="BM19" s="12">
        <v>-1583061</v>
      </c>
      <c r="BN19" s="12">
        <v>-378097</v>
      </c>
      <c r="BO19" s="18">
        <v>-1961158</v>
      </c>
      <c r="BP19" s="12">
        <v>-1086728</v>
      </c>
      <c r="BQ19" s="12">
        <v>-723691</v>
      </c>
      <c r="BR19" s="12">
        <v>-1810419</v>
      </c>
      <c r="BS19" s="12">
        <v>-30068</v>
      </c>
      <c r="BT19" s="12">
        <v>-1840487</v>
      </c>
      <c r="BU19" s="12">
        <v>-376191</v>
      </c>
      <c r="BV19" s="12">
        <v>-2216679</v>
      </c>
      <c r="BW19" s="12">
        <v>-854871</v>
      </c>
      <c r="BX19" s="18">
        <v>-685770</v>
      </c>
      <c r="BY19" s="12">
        <v>-1540641</v>
      </c>
      <c r="BZ19" s="12">
        <v>-452533</v>
      </c>
      <c r="CA19" s="12">
        <v>-1993174</v>
      </c>
      <c r="CB19" s="12">
        <v>72709</v>
      </c>
      <c r="CC19" s="12">
        <f>CA19+CB19</f>
        <v>-1920465</v>
      </c>
      <c r="CD19" s="12">
        <v>140763</v>
      </c>
    </row>
    <row r="20" spans="1:82" x14ac:dyDescent="0.35">
      <c r="A20" s="2" t="s">
        <v>95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56625</v>
      </c>
      <c r="S20" s="7">
        <v>27347</v>
      </c>
      <c r="T20" s="7">
        <v>31551</v>
      </c>
      <c r="U20" s="7">
        <v>181452</v>
      </c>
      <c r="V20" s="7">
        <v>28629</v>
      </c>
      <c r="W20" s="7">
        <v>-3057</v>
      </c>
      <c r="X20" s="7">
        <v>26283</v>
      </c>
      <c r="Y20" s="7">
        <v>62171</v>
      </c>
      <c r="Z20" s="7">
        <v>114026</v>
      </c>
      <c r="AA20" s="7">
        <v>68522</v>
      </c>
      <c r="AB20" s="7">
        <v>60576</v>
      </c>
      <c r="AC20" s="7">
        <v>30830</v>
      </c>
      <c r="AD20" s="7">
        <v>32672</v>
      </c>
      <c r="AE20" s="7">
        <v>192600</v>
      </c>
      <c r="AF20" s="7">
        <v>41722</v>
      </c>
      <c r="AG20" s="7">
        <v>63284</v>
      </c>
      <c r="AH20" s="7">
        <v>40891</v>
      </c>
      <c r="AI20" s="7">
        <v>81373</v>
      </c>
      <c r="AJ20" s="7">
        <v>227270</v>
      </c>
      <c r="AK20" s="7">
        <v>86763</v>
      </c>
      <c r="AL20" s="7">
        <v>7447</v>
      </c>
      <c r="AM20" s="7">
        <v>-11971</v>
      </c>
      <c r="AN20" s="7">
        <v>2694</v>
      </c>
      <c r="AO20" s="7">
        <v>84933</v>
      </c>
      <c r="AP20" s="12">
        <v>70795</v>
      </c>
      <c r="AQ20" s="7">
        <v>40646</v>
      </c>
      <c r="AR20" s="7">
        <v>76502</v>
      </c>
      <c r="AS20" s="12">
        <v>139357</v>
      </c>
      <c r="AT20" s="12">
        <v>327300</v>
      </c>
      <c r="AU20" s="12">
        <v>106565</v>
      </c>
      <c r="AV20" s="12">
        <v>156072</v>
      </c>
      <c r="AW20" s="18">
        <v>121994</v>
      </c>
      <c r="AX20" s="18">
        <v>234645</v>
      </c>
      <c r="AY20" s="18">
        <v>619276</v>
      </c>
      <c r="AZ20" s="12">
        <v>160446</v>
      </c>
      <c r="BA20" s="12">
        <v>125737</v>
      </c>
      <c r="BB20" s="12">
        <v>113054</v>
      </c>
      <c r="BC20" s="12">
        <v>125029</v>
      </c>
      <c r="BD20" s="12">
        <v>524266</v>
      </c>
      <c r="BE20" s="12">
        <v>186375</v>
      </c>
      <c r="BF20" s="12">
        <v>195520</v>
      </c>
      <c r="BG20" s="12">
        <v>183438</v>
      </c>
      <c r="BH20" s="12">
        <v>185662</v>
      </c>
      <c r="BI20" s="12">
        <v>750996</v>
      </c>
      <c r="BJ20" s="12">
        <v>355933</v>
      </c>
      <c r="BK20" s="12">
        <v>369274</v>
      </c>
      <c r="BL20" s="12">
        <v>251112</v>
      </c>
      <c r="BM20" s="12">
        <v>976322</v>
      </c>
      <c r="BN20" s="12">
        <v>449113</v>
      </c>
      <c r="BO20" s="18">
        <v>1425435</v>
      </c>
      <c r="BP20" s="12">
        <v>896185</v>
      </c>
      <c r="BQ20" s="12">
        <v>619253</v>
      </c>
      <c r="BR20" s="12">
        <v>1515438</v>
      </c>
      <c r="BS20" s="12">
        <v>256376</v>
      </c>
      <c r="BT20" s="12">
        <v>1771814</v>
      </c>
      <c r="BU20" s="12">
        <v>465866</v>
      </c>
      <c r="BV20" s="12">
        <f>2237679+2</f>
        <v>2237681</v>
      </c>
      <c r="BW20" s="12">
        <v>683038</v>
      </c>
      <c r="BX20" s="12">
        <v>471430</v>
      </c>
      <c r="BY20" s="12">
        <v>1154468</v>
      </c>
      <c r="BZ20" s="12">
        <v>326218</v>
      </c>
      <c r="CA20" s="12">
        <v>1480686</v>
      </c>
      <c r="CB20" s="12">
        <v>605973</v>
      </c>
      <c r="CC20" s="12">
        <f>CA20+CB20</f>
        <v>2086659</v>
      </c>
      <c r="CD20" s="12">
        <v>104012</v>
      </c>
    </row>
    <row r="21" spans="1:82" x14ac:dyDescent="0.35">
      <c r="A21" s="2" t="s">
        <v>89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>
        <v>-1392</v>
      </c>
      <c r="BQ21" s="7">
        <v>0</v>
      </c>
      <c r="BR21" s="7">
        <v>-1392</v>
      </c>
      <c r="BS21" s="7">
        <v>14135</v>
      </c>
      <c r="BT21" s="7">
        <v>12743</v>
      </c>
      <c r="BU21" s="7">
        <v>58623</v>
      </c>
      <c r="BV21" s="7">
        <v>71366</v>
      </c>
      <c r="BW21" s="7">
        <v>56380</v>
      </c>
      <c r="BX21" s="7">
        <v>-16290</v>
      </c>
      <c r="BY21" s="7">
        <v>40090</v>
      </c>
      <c r="BZ21" s="7">
        <v>55554</v>
      </c>
      <c r="CA21" s="7">
        <v>95644</v>
      </c>
      <c r="CB21" s="7">
        <v>-66720</v>
      </c>
      <c r="CC21" s="12">
        <f>CA21+CB21</f>
        <v>28924</v>
      </c>
      <c r="CD21" s="12">
        <v>-178648</v>
      </c>
    </row>
    <row r="22" spans="1:82" x14ac:dyDescent="0.35">
      <c r="A22" s="2" t="s">
        <v>84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1826</v>
      </c>
      <c r="AM22" s="7">
        <v>4872</v>
      </c>
      <c r="AN22" s="7">
        <v>625</v>
      </c>
      <c r="AO22" s="7">
        <v>7323</v>
      </c>
      <c r="AP22" s="12">
        <v>1609</v>
      </c>
      <c r="AQ22" s="7">
        <v>576</v>
      </c>
      <c r="AR22" s="7">
        <v>295</v>
      </c>
      <c r="AS22" s="12">
        <v>1157</v>
      </c>
      <c r="AT22" s="12">
        <v>3637</v>
      </c>
      <c r="AU22" s="12">
        <v>858</v>
      </c>
      <c r="AV22" s="12">
        <v>558</v>
      </c>
      <c r="AW22" s="18">
        <v>3590</v>
      </c>
      <c r="AX22" s="18">
        <v>777</v>
      </c>
      <c r="AY22" s="18">
        <v>5783</v>
      </c>
      <c r="AZ22" s="12">
        <v>5357</v>
      </c>
      <c r="BA22" s="12">
        <v>1194</v>
      </c>
      <c r="BB22" s="12">
        <v>2103</v>
      </c>
      <c r="BC22" s="12">
        <v>3573</v>
      </c>
      <c r="BD22" s="12">
        <v>12228</v>
      </c>
      <c r="BE22" s="12">
        <v>2910</v>
      </c>
      <c r="BF22" s="12">
        <v>1920</v>
      </c>
      <c r="BG22" s="12">
        <v>1216</v>
      </c>
      <c r="BH22" s="12">
        <v>2021</v>
      </c>
      <c r="BI22" s="12">
        <v>8067</v>
      </c>
      <c r="BJ22" s="12">
        <v>5593</v>
      </c>
      <c r="BK22" s="12">
        <v>2707</v>
      </c>
      <c r="BL22" s="12">
        <v>872</v>
      </c>
      <c r="BM22" s="12">
        <v>8653</v>
      </c>
      <c r="BN22" s="12">
        <v>4128</v>
      </c>
      <c r="BO22" s="18">
        <v>12781</v>
      </c>
      <c r="BP22" s="12">
        <v>327</v>
      </c>
      <c r="BQ22" s="12">
        <v>2186</v>
      </c>
      <c r="BR22" s="12">
        <v>2513</v>
      </c>
      <c r="BS22" s="12">
        <v>1334</v>
      </c>
      <c r="BT22" s="12">
        <v>3847</v>
      </c>
      <c r="BU22" s="12">
        <v>1964</v>
      </c>
      <c r="BV22" s="12">
        <v>5811</v>
      </c>
      <c r="BW22" s="12">
        <v>4191</v>
      </c>
      <c r="BX22" s="12">
        <v>22162</v>
      </c>
      <c r="BY22" s="12">
        <v>26353</v>
      </c>
      <c r="BZ22" s="12">
        <v>5331</v>
      </c>
      <c r="CA22" s="12">
        <v>31684</v>
      </c>
      <c r="CB22" s="12">
        <v>0</v>
      </c>
      <c r="CC22" s="12"/>
      <c r="CD22" s="12">
        <v>7340</v>
      </c>
    </row>
    <row r="23" spans="1:82" x14ac:dyDescent="0.35">
      <c r="A23" s="2" t="s">
        <v>85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84536</v>
      </c>
      <c r="AT23" s="7">
        <v>84536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335</v>
      </c>
      <c r="BC23" s="7">
        <v>90</v>
      </c>
      <c r="BD23" s="7">
        <v>425</v>
      </c>
      <c r="BE23" s="7">
        <v>191</v>
      </c>
      <c r="BF23" s="7">
        <v>48</v>
      </c>
      <c r="BG23" s="7">
        <v>675</v>
      </c>
      <c r="BH23" s="7">
        <v>1539</v>
      </c>
      <c r="BI23" s="7">
        <v>2453</v>
      </c>
      <c r="BJ23" s="7">
        <v>-334</v>
      </c>
      <c r="BK23" s="7">
        <v>437</v>
      </c>
      <c r="BL23" s="12">
        <v>-5</v>
      </c>
      <c r="BM23" s="12">
        <v>618</v>
      </c>
      <c r="BN23" s="12">
        <v>218</v>
      </c>
      <c r="BO23" s="18">
        <v>835</v>
      </c>
      <c r="BP23" s="7">
        <v>38</v>
      </c>
      <c r="BQ23" s="7">
        <v>14</v>
      </c>
      <c r="BR23" s="7">
        <v>52</v>
      </c>
      <c r="BS23" s="7">
        <v>124</v>
      </c>
      <c r="BT23" s="12">
        <v>176</v>
      </c>
      <c r="BU23" s="7">
        <v>102</v>
      </c>
      <c r="BV23" s="12">
        <v>278</v>
      </c>
      <c r="BW23" s="7">
        <v>117</v>
      </c>
      <c r="BX23" s="12">
        <v>0</v>
      </c>
      <c r="BY23" s="12">
        <v>117</v>
      </c>
      <c r="BZ23" s="12">
        <v>-962</v>
      </c>
      <c r="CA23" s="12">
        <v>-845</v>
      </c>
      <c r="CB23" s="7">
        <v>8017</v>
      </c>
      <c r="CC23" s="12">
        <v>59170</v>
      </c>
      <c r="CD23" s="12"/>
    </row>
    <row r="24" spans="1:82" x14ac:dyDescent="0.35">
      <c r="A24" s="2" t="s">
        <v>86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/>
      <c r="AK24" s="7"/>
      <c r="AL24" s="7"/>
      <c r="AM24" s="7"/>
      <c r="AN24" s="7"/>
      <c r="AO24" s="7">
        <v>0</v>
      </c>
      <c r="AP24" s="7"/>
      <c r="AQ24" s="7"/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36029</v>
      </c>
      <c r="BD24" s="7">
        <v>36029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277</v>
      </c>
      <c r="BQ24" s="7">
        <v>0</v>
      </c>
      <c r="BR24" s="7">
        <v>277</v>
      </c>
      <c r="BS24" s="7">
        <v>0</v>
      </c>
      <c r="BT24" s="12">
        <v>277</v>
      </c>
      <c r="BU24" s="7">
        <v>0</v>
      </c>
      <c r="BV24" s="12">
        <v>277</v>
      </c>
      <c r="BW24" s="7">
        <v>0</v>
      </c>
      <c r="BX24" s="12">
        <v>0</v>
      </c>
      <c r="BY24" s="12">
        <v>0</v>
      </c>
      <c r="BZ24" s="12">
        <v>0</v>
      </c>
      <c r="CA24" s="12">
        <v>0</v>
      </c>
      <c r="CB24" s="7">
        <v>0</v>
      </c>
      <c r="CC24" s="12">
        <v>0</v>
      </c>
      <c r="CD24" s="12"/>
    </row>
    <row r="25" spans="1:82" x14ac:dyDescent="0.35">
      <c r="A25" s="2" t="s">
        <v>87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12">
        <v>0</v>
      </c>
      <c r="BA25" s="12">
        <v>0</v>
      </c>
      <c r="BB25" s="12">
        <v>0</v>
      </c>
      <c r="BC25" s="12">
        <v>19466</v>
      </c>
      <c r="BD25" s="12">
        <v>19466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0</v>
      </c>
      <c r="BO25" s="15">
        <v>0</v>
      </c>
      <c r="BP25" s="12">
        <v>0</v>
      </c>
      <c r="BQ25" s="12"/>
      <c r="BR25" s="12">
        <v>0</v>
      </c>
      <c r="BS25" s="12">
        <v>0</v>
      </c>
      <c r="BT25" s="12">
        <v>0</v>
      </c>
      <c r="BU25" s="12">
        <v>0</v>
      </c>
      <c r="BV25" s="12">
        <v>0</v>
      </c>
      <c r="BW25" s="12">
        <v>0</v>
      </c>
      <c r="BX25" s="12"/>
      <c r="BY25" s="12">
        <v>0</v>
      </c>
      <c r="BZ25" s="12">
        <v>0</v>
      </c>
      <c r="CA25" s="12">
        <v>0</v>
      </c>
      <c r="CB25" s="12">
        <v>0</v>
      </c>
      <c r="CC25" s="12">
        <v>0</v>
      </c>
      <c r="CD25" s="12"/>
    </row>
    <row r="26" spans="1:82" x14ac:dyDescent="0.35">
      <c r="A26" s="2" t="s">
        <v>88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12">
        <v>8909</v>
      </c>
      <c r="BM26" s="12">
        <v>8909</v>
      </c>
      <c r="BN26" s="12">
        <v>5923</v>
      </c>
      <c r="BO26" s="18">
        <v>14832</v>
      </c>
      <c r="BP26" s="7">
        <v>7039</v>
      </c>
      <c r="BQ26" s="7">
        <v>9356</v>
      </c>
      <c r="BR26" s="7">
        <v>16395</v>
      </c>
      <c r="BS26" s="7">
        <v>53</v>
      </c>
      <c r="BT26" s="12">
        <v>16447</v>
      </c>
      <c r="BU26" s="7">
        <v>102638</v>
      </c>
      <c r="BV26" s="12">
        <v>119084</v>
      </c>
      <c r="BW26" s="7">
        <v>6032</v>
      </c>
      <c r="BX26" s="12">
        <v>5567</v>
      </c>
      <c r="BY26" s="12">
        <v>11599</v>
      </c>
      <c r="BZ26" s="12">
        <v>8714</v>
      </c>
      <c r="CA26" s="12">
        <v>20313</v>
      </c>
      <c r="CB26" s="7">
        <v>0</v>
      </c>
      <c r="CC26" s="12"/>
      <c r="CD26" s="12"/>
    </row>
    <row r="28" spans="1:82" x14ac:dyDescent="0.35">
      <c r="A28" s="1" t="s">
        <v>63</v>
      </c>
      <c r="B28" s="15">
        <f>B18+SUM(B19:B26)</f>
        <v>91810</v>
      </c>
      <c r="C28" s="15">
        <f>C18+SUM(C19:C26)</f>
        <v>-22384</v>
      </c>
      <c r="D28" s="15">
        <f>D18+SUM(D19:D26)</f>
        <v>-53742</v>
      </c>
      <c r="E28" s="15">
        <f>E18+SUM(E19:E26)</f>
        <v>53980</v>
      </c>
      <c r="F28" s="15">
        <f>F18+SUM(F19:F26)</f>
        <v>69664</v>
      </c>
      <c r="G28" s="15">
        <f>G18+SUM(G19:G26)</f>
        <v>-2028</v>
      </c>
      <c r="H28" s="15">
        <f>H18+SUM(H19:H26)+1</f>
        <v>75524</v>
      </c>
      <c r="I28" s="15">
        <f>I18+SUM(I19:I26)</f>
        <v>72690</v>
      </c>
      <c r="J28" s="15">
        <f>J18+SUM(J19:J26)-1</f>
        <v>58153</v>
      </c>
      <c r="K28" s="15">
        <f>K18+SUM(K19:K26)</f>
        <v>204339</v>
      </c>
      <c r="L28" s="15">
        <f>L18+SUM(L19:L26)</f>
        <v>61597</v>
      </c>
      <c r="M28" s="15">
        <f>M18+SUM(M19:M26)</f>
        <v>68466</v>
      </c>
      <c r="N28" s="15">
        <f>N18+SUM(N19:N26)</f>
        <v>118876</v>
      </c>
      <c r="O28" s="15">
        <f>O18+SUM(O19:O26)</f>
        <v>76936</v>
      </c>
      <c r="P28" s="15">
        <f>P18+SUM(P19:P26)</f>
        <v>325875</v>
      </c>
      <c r="Q28" s="15">
        <f>Q18+SUM(Q19:Q26)</f>
        <v>96371</v>
      </c>
      <c r="R28" s="15">
        <f>R18+SUM(R19:R26)</f>
        <v>62837</v>
      </c>
      <c r="S28" s="15">
        <f>S18+SUM(S19:S26)</f>
        <v>55461</v>
      </c>
      <c r="T28" s="15">
        <f>T18+SUM(T19:T26)</f>
        <v>79082</v>
      </c>
      <c r="U28" s="15">
        <f>U18+SUM(U19:U26)</f>
        <v>290308</v>
      </c>
      <c r="V28" s="15">
        <f>V18+SUM(V19:V26)</f>
        <v>83686</v>
      </c>
      <c r="W28" s="15">
        <f>W18+SUM(W19:W26)</f>
        <v>38642</v>
      </c>
      <c r="X28" s="15">
        <f>X18+SUM(X19:X26)</f>
        <v>36707</v>
      </c>
      <c r="Y28" s="15">
        <f>Y18+SUM(Y19:Y26)</f>
        <v>74695</v>
      </c>
      <c r="Z28" s="15">
        <f>Z18+SUM(Z19:Z26)</f>
        <v>233730</v>
      </c>
      <c r="AA28" s="15">
        <f>AA18+SUM(AA19:AA26)</f>
        <v>77940</v>
      </c>
      <c r="AB28" s="15">
        <f>AB18+SUM(AB19:AB26)</f>
        <v>88102</v>
      </c>
      <c r="AC28" s="15">
        <f>AC18+SUM(AC19:AC26)</f>
        <v>60523</v>
      </c>
      <c r="AD28" s="15">
        <f>AD18+SUM(AD19:AD26)</f>
        <v>93581</v>
      </c>
      <c r="AE28" s="15">
        <f>AE18+SUM(AE19:AE26)</f>
        <v>320146</v>
      </c>
      <c r="AF28" s="15">
        <f>AF18+SUM(AF19:AF26)</f>
        <v>49799</v>
      </c>
      <c r="AG28" s="15">
        <f>AG18+SUM(AG19:AG26)</f>
        <v>93221</v>
      </c>
      <c r="AH28" s="15">
        <f>AH18+SUM(AH19:AH26)</f>
        <v>44882</v>
      </c>
      <c r="AI28" s="15">
        <f>AI18+SUM(AI19:AI26)</f>
        <v>151839</v>
      </c>
      <c r="AJ28" s="15">
        <f>AJ18+SUM(AJ19:AJ26)</f>
        <v>339741</v>
      </c>
      <c r="AK28" s="15">
        <f>AK18+SUM(AK19:AK26)</f>
        <v>48351</v>
      </c>
      <c r="AL28" s="15">
        <f>AL18+SUM(AL19:AL26)-1</f>
        <v>16805</v>
      </c>
      <c r="AM28" s="15">
        <f>AM18+SUM(AM19:AM26)</f>
        <v>24004</v>
      </c>
      <c r="AN28" s="15">
        <f>AN18+SUM(AN19:AN26)</f>
        <v>159948</v>
      </c>
      <c r="AO28" s="15">
        <f>AO18+SUM(AO19:AO26)-1</f>
        <v>249108</v>
      </c>
      <c r="AP28" s="15">
        <f>AP18+SUM(AP19:AP26)</f>
        <v>123472</v>
      </c>
      <c r="AQ28" s="15">
        <f>AQ18+SUM(AQ19:AQ26)</f>
        <v>73781</v>
      </c>
      <c r="AR28" s="15">
        <f>AR18+SUM(AR19:AR26)</f>
        <v>116834</v>
      </c>
      <c r="AS28" s="15">
        <f>AS18+SUM(AS19:AS26)</f>
        <v>424498</v>
      </c>
      <c r="AT28" s="15">
        <f>AT18+SUM(AT19:AT26)</f>
        <v>738585</v>
      </c>
      <c r="AU28" s="15">
        <f>AU18+SUM(AU19:AU26)</f>
        <v>150502</v>
      </c>
      <c r="AV28" s="15">
        <f>AV18+SUM(AV19:AV26)</f>
        <v>158788</v>
      </c>
      <c r="AW28" s="15">
        <f>AW18+SUM(AW19:AW26)</f>
        <v>88298</v>
      </c>
      <c r="AX28" s="15">
        <f>AX18+SUM(AX19:AX26)</f>
        <v>272168</v>
      </c>
      <c r="AY28" s="15">
        <f>AY18+SUM(AY19:AY26)</f>
        <v>669756</v>
      </c>
      <c r="AZ28" s="15">
        <f>AZ18+SUM(AZ19:AZ26)</f>
        <v>228114</v>
      </c>
      <c r="BA28" s="15">
        <f>BA18+SUM(BA19:BA26)</f>
        <v>110643</v>
      </c>
      <c r="BB28" s="15">
        <f>BB18+SUM(BB19:BB26)+3</f>
        <v>179349</v>
      </c>
      <c r="BC28" s="15">
        <f>BC18+SUM(BC19:BC26)+1</f>
        <v>277414</v>
      </c>
      <c r="BD28" s="15">
        <f>BD18+SUM(BD19:BD26)</f>
        <v>795521</v>
      </c>
      <c r="BE28" s="15">
        <f>BE18+SUM(BE19:BE26)</f>
        <v>182832</v>
      </c>
      <c r="BF28" s="15">
        <f>BF18+SUM(BF19:BF26)+1</f>
        <v>144865</v>
      </c>
      <c r="BG28" s="15">
        <f>BG18+SUM(BG19:BG26)+3</f>
        <v>234627</v>
      </c>
      <c r="BH28" s="15">
        <f>BH18+SUM(BH19:BH26)</f>
        <v>397939</v>
      </c>
      <c r="BI28" s="15">
        <f>BI18+SUM(BI19:BI26)</f>
        <v>960263</v>
      </c>
      <c r="BJ28" s="15">
        <f>BJ18+SUM(BJ19:BJ26)</f>
        <v>272524</v>
      </c>
      <c r="BK28" s="15">
        <f>BK18+SUM(BK19:BK26)</f>
        <v>505219</v>
      </c>
      <c r="BL28" s="15">
        <f>BL18+SUM(BL19:BL26)</f>
        <v>330611</v>
      </c>
      <c r="BM28" s="15">
        <f>BM18+SUM(BM19:BM26)-1</f>
        <v>1108358</v>
      </c>
      <c r="BN28" s="15">
        <f>BN18+SUM(BN19:BN26)</f>
        <v>576885</v>
      </c>
      <c r="BO28" s="15">
        <f>BM28+BN28+4</f>
        <v>1685247</v>
      </c>
      <c r="BP28" s="15">
        <f>BP18+SUM(BP19:BP26)</f>
        <v>1258042</v>
      </c>
      <c r="BQ28" s="15">
        <f>BQ18+SUM(BQ19:BQ26)</f>
        <v>820260</v>
      </c>
      <c r="BR28" s="15">
        <f>SUM(BP28:BQ28)-4</f>
        <v>2078298</v>
      </c>
      <c r="BS28" s="15">
        <f>BS18+SUM(BS19:BS26)</f>
        <v>391894</v>
      </c>
      <c r="BT28" s="14">
        <f>BR28+BS28</f>
        <v>2470192</v>
      </c>
      <c r="BU28" s="15">
        <f>BU18+SUM(BU19:BU26)</f>
        <v>648250</v>
      </c>
      <c r="BV28" s="14">
        <f>BT28+BU28-2</f>
        <v>3118440</v>
      </c>
      <c r="BW28" s="15">
        <f>BW18+SUM(BW19:BW26)</f>
        <v>989955</v>
      </c>
      <c r="BX28" s="15">
        <f>BX18+SUM(BX19:BX26)</f>
        <v>553454</v>
      </c>
      <c r="BY28" s="15">
        <f>SUM(BW28:BX28)+1</f>
        <v>1543410</v>
      </c>
      <c r="BZ28" s="15">
        <f>BZ18+SUM(BZ19:BZ26)+1</f>
        <v>491913</v>
      </c>
      <c r="CA28" s="15">
        <f>SUM(BY28:BZ28)-1</f>
        <v>2035322</v>
      </c>
      <c r="CB28" s="15">
        <f>CB18+SUM(CB19:CB26)</f>
        <v>673376</v>
      </c>
      <c r="CC28" s="15">
        <f>SUM(CA28:CB28)+1</f>
        <v>2708699</v>
      </c>
      <c r="CD28" s="15">
        <f>CD18+SUM(CD19:CD26)</f>
        <v>704223</v>
      </c>
    </row>
    <row r="29" spans="1:82" x14ac:dyDescent="0.35">
      <c r="A29" s="1" t="s">
        <v>64</v>
      </c>
      <c r="B29" s="21">
        <f>ROUND((B28/(B3+B4)),3)</f>
        <v>0.44900000000000001</v>
      </c>
      <c r="C29" s="21">
        <f>ROUND((C28/(C3+C4)),3)</f>
        <v>-0.186</v>
      </c>
      <c r="D29" s="21">
        <f>ROUND((D28/(D3+D4)),3)</f>
        <v>-0.53900000000000003</v>
      </c>
      <c r="E29" s="21">
        <f>ROUND((E28/(E3+E4)),3)</f>
        <v>0.33100000000000002</v>
      </c>
      <c r="F29" s="21">
        <f>ROUND((F28/(F3+F4)),3)</f>
        <v>0.11799999999999999</v>
      </c>
      <c r="G29" s="21">
        <f>ROUND((G28/(G3+G4)),3)</f>
        <v>-1.0999999999999999E-2</v>
      </c>
      <c r="H29" s="21">
        <f>ROUND((H28/(H3+H4)),3)</f>
        <v>0.36599999999999999</v>
      </c>
      <c r="I29" s="21">
        <f>ROUND((I28/(I3+I4)),3)</f>
        <v>0.33100000000000002</v>
      </c>
      <c r="J29" s="21">
        <f>ROUND((J28/(J3+J4)),3)</f>
        <v>0.20399999999999999</v>
      </c>
      <c r="K29" s="21">
        <f>ROUND((K28/(K3+K4)),3)</f>
        <v>0.23</v>
      </c>
      <c r="L29" s="21">
        <f>ROUND((L28/(L3+L4)),3)</f>
        <v>0.314</v>
      </c>
      <c r="M29" s="21">
        <f>ROUND((M28/(M3+M4)),3)</f>
        <v>0.32600000000000001</v>
      </c>
      <c r="N29" s="21">
        <f>ROUND((N28/(N3+N4)),3)</f>
        <v>0.43099999999999999</v>
      </c>
      <c r="O29" s="21">
        <f>ROUND((O28/(O3+O4)),3)</f>
        <v>0.23799999999999999</v>
      </c>
      <c r="P29" s="21">
        <f>ROUND((P28/(P3+P4)),3)</f>
        <v>0.32400000000000001</v>
      </c>
      <c r="Q29" s="21">
        <f>ROUND((Q28/(Q3+Q4)),3)</f>
        <v>0.29699999999999999</v>
      </c>
      <c r="R29" s="21">
        <v>0.27600000000000002</v>
      </c>
      <c r="S29" s="21">
        <v>0.252</v>
      </c>
      <c r="T29" s="21">
        <v>0.28100000000000003</v>
      </c>
      <c r="U29" s="21">
        <v>0.29499999999999998</v>
      </c>
      <c r="V29" s="21">
        <v>0.33799999999999997</v>
      </c>
      <c r="W29" s="21">
        <v>0.153</v>
      </c>
      <c r="X29" s="21">
        <v>0.17100000000000001</v>
      </c>
      <c r="Y29" s="21">
        <v>0.23300000000000001</v>
      </c>
      <c r="Z29" s="21">
        <v>0.22600000000000001</v>
      </c>
      <c r="AA29" s="21">
        <v>0.30380000000000001</v>
      </c>
      <c r="AB29" s="21">
        <v>0.24099999999999999</v>
      </c>
      <c r="AC29" s="21">
        <v>0.20300000000000001</v>
      </c>
      <c r="AD29" s="21">
        <v>0.22500000000000001</v>
      </c>
      <c r="AE29" s="21">
        <v>0.24</v>
      </c>
      <c r="AF29" s="21">
        <v>0.184</v>
      </c>
      <c r="AG29" s="21">
        <v>0.23699999999999999</v>
      </c>
      <c r="AH29" s="21">
        <v>0.16899999999999998</v>
      </c>
      <c r="AI29" s="21">
        <v>0.27500000000000002</v>
      </c>
      <c r="AJ29" s="21">
        <v>0.22899999999999998</v>
      </c>
      <c r="AK29" s="21">
        <v>0.14499999999999999</v>
      </c>
      <c r="AL29" s="21">
        <v>4.4999999999999998E-2</v>
      </c>
      <c r="AM29" s="21">
        <v>7.3999999999999996E-2</v>
      </c>
      <c r="AN29" s="21">
        <v>0.27800000000000002</v>
      </c>
      <c r="AO29" s="21">
        <v>0.156</v>
      </c>
      <c r="AP29" s="21">
        <v>0.35304848583625703</v>
      </c>
      <c r="AQ29" s="21">
        <v>0.215</v>
      </c>
      <c r="AR29" s="21">
        <v>0.254</v>
      </c>
      <c r="AS29" s="11">
        <v>0.60199999999999998</v>
      </c>
      <c r="AT29" s="11">
        <v>0.39800000000000002</v>
      </c>
      <c r="AU29" s="17">
        <v>0.35599999999999998</v>
      </c>
      <c r="AV29" s="17">
        <v>0.34200000000000003</v>
      </c>
      <c r="AW29" s="11">
        <v>0.216</v>
      </c>
      <c r="AX29" s="11">
        <v>0.33900000000000002</v>
      </c>
      <c r="AY29" s="11">
        <v>0.31900000000000001</v>
      </c>
      <c r="AZ29" s="11">
        <v>0.36862474508675935</v>
      </c>
      <c r="BA29" s="11">
        <v>0.26786310881280595</v>
      </c>
      <c r="BB29" s="11">
        <v>0.26185720543144986</v>
      </c>
      <c r="BC29" s="11">
        <v>0.3386765375548309</v>
      </c>
      <c r="BD29" s="11">
        <v>0.31370299754919839</v>
      </c>
      <c r="BE29" s="11">
        <v>0.28899999999999998</v>
      </c>
      <c r="BF29" s="11">
        <v>0.25700000000000001</v>
      </c>
      <c r="BG29" s="11">
        <v>0.30199999999999999</v>
      </c>
      <c r="BH29" s="11">
        <v>0.35299999999999998</v>
      </c>
      <c r="BI29" s="11">
        <v>0.31</v>
      </c>
      <c r="BJ29" s="11">
        <f>BJ28/BJ3</f>
        <v>0.32933811888965425</v>
      </c>
      <c r="BK29" s="11">
        <f>BK28/BK3</f>
        <v>0.48399439384664317</v>
      </c>
      <c r="BL29" s="11">
        <f>BL28/BL3</f>
        <v>0.35082966438836594</v>
      </c>
      <c r="BM29" s="11">
        <f>BM28/BM3</f>
        <v>0.39391365415316726</v>
      </c>
      <c r="BN29" s="11">
        <f>BN28/BN3</f>
        <v>0.37230420929603697</v>
      </c>
      <c r="BO29" s="11">
        <f>BO28/BO3</f>
        <v>0.38624017638390085</v>
      </c>
      <c r="BP29" s="11">
        <f>BP28/BP3</f>
        <v>0.52220912822628751</v>
      </c>
      <c r="BQ29" s="11">
        <f>BQ28/BQ3</f>
        <v>0.49268060630959848</v>
      </c>
      <c r="BR29" s="11">
        <f>BR28/BR3</f>
        <v>0.51014084790532277</v>
      </c>
      <c r="BS29" s="11">
        <f>BS28/BS3</f>
        <v>0.28962806722962336</v>
      </c>
      <c r="BT29" s="11">
        <f>BT28/BT3</f>
        <v>0.45516175965494421</v>
      </c>
      <c r="BU29" s="11">
        <f>BU28/BU3</f>
        <v>0.33312435443506322</v>
      </c>
      <c r="BV29" s="11">
        <f>BV28/BV3</f>
        <v>0.42295207101988136</v>
      </c>
      <c r="BW29" s="11">
        <f>BW28/BW3</f>
        <v>0.44606331232835356</v>
      </c>
      <c r="BX29" s="11">
        <f>BX28/BX3</f>
        <v>0.38316641535506935</v>
      </c>
      <c r="BY29" s="11">
        <f>BY28/BY3</f>
        <v>0.42126659200701361</v>
      </c>
      <c r="BZ29" s="11">
        <f>BZ28/BZ3</f>
        <v>0.29846336988336025</v>
      </c>
      <c r="CA29" s="11">
        <f>CA28/CA3</f>
        <v>0.38316350360483814</v>
      </c>
      <c r="CB29" s="11">
        <f>CB28/CB3</f>
        <v>0.3509553894471969</v>
      </c>
      <c r="CC29" s="11">
        <f>CC28/CC3</f>
        <v>0.37461695688992158</v>
      </c>
      <c r="CD29" s="11">
        <f>CD28/CD3</f>
        <v>0.35986405125621257</v>
      </c>
    </row>
    <row r="30" spans="1:82" hidden="1" x14ac:dyDescent="0.35">
      <c r="A30" s="1" t="s">
        <v>65</v>
      </c>
      <c r="B30" s="21">
        <f>ROUND((B29/(B3+B4)),3)</f>
        <v>0</v>
      </c>
      <c r="C30" s="21">
        <f>ROUND((C29/(C3+C4)),3)</f>
        <v>0</v>
      </c>
      <c r="D30" s="21">
        <f>ROUND((D29/(D3+D4)),3)</f>
        <v>0</v>
      </c>
      <c r="E30" s="21">
        <f>ROUND((E29/(E3+E4)),3)</f>
        <v>0</v>
      </c>
      <c r="F30" s="21">
        <f>ROUND((F29/(F3+F4)),3)</f>
        <v>0</v>
      </c>
      <c r="G30" s="21">
        <f>ROUND((G29/(G3+G4)),3)</f>
        <v>0</v>
      </c>
      <c r="H30" s="21">
        <f>ROUND((H29/(H3+H4)),3)</f>
        <v>0</v>
      </c>
      <c r="I30" s="21">
        <f>ROUND((I29/(I3+I4)),3)</f>
        <v>0</v>
      </c>
      <c r="J30" s="21">
        <f>ROUND((J29/(J3+J4)),3)</f>
        <v>0</v>
      </c>
      <c r="K30" s="21">
        <f>ROUND((K29/(K3+K4)),3)</f>
        <v>0</v>
      </c>
      <c r="L30" s="21">
        <f>ROUND((L29/(L3+L4)),3)</f>
        <v>0</v>
      </c>
      <c r="M30" s="21">
        <f>ROUND((M29/(M3+M4)),3)</f>
        <v>0</v>
      </c>
      <c r="N30" s="21">
        <f>ROUND((N29/(N3+N4)),3)</f>
        <v>0</v>
      </c>
      <c r="O30" s="21">
        <f>ROUND((O29/(O3+O4)),3)</f>
        <v>0</v>
      </c>
      <c r="P30" s="21">
        <f>ROUND((P29/(P3+P4)),3)</f>
        <v>0</v>
      </c>
      <c r="Q30" s="21">
        <f>ROUND((Q29/(Q3+Q4)),3)</f>
        <v>0</v>
      </c>
      <c r="R30" s="21">
        <v>0.27600000000000002</v>
      </c>
      <c r="S30" s="21">
        <v>0.252</v>
      </c>
      <c r="T30" s="21">
        <v>0.28100000000000003</v>
      </c>
      <c r="U30" s="21">
        <v>0.29499999999999998</v>
      </c>
      <c r="V30" s="21">
        <v>0.33799999999999997</v>
      </c>
      <c r="W30" s="21">
        <v>0.153</v>
      </c>
      <c r="X30" s="21">
        <v>0.17100000000000001</v>
      </c>
      <c r="Y30" s="21">
        <v>0.23300000000000001</v>
      </c>
      <c r="Z30" s="21">
        <v>0.22600000000000001</v>
      </c>
      <c r="AA30" s="21">
        <v>0.30380000000000001</v>
      </c>
      <c r="AB30" s="21">
        <v>0.24099999999999999</v>
      </c>
      <c r="AC30" s="21">
        <v>0.20300000000000001</v>
      </c>
      <c r="AD30" s="21">
        <v>0.22500000000000001</v>
      </c>
      <c r="AE30" s="21">
        <v>0.24</v>
      </c>
      <c r="AF30" s="21">
        <v>0.184</v>
      </c>
      <c r="AG30" s="21">
        <v>0.23699999999999999</v>
      </c>
      <c r="AH30" s="21">
        <v>0.16899999999999998</v>
      </c>
      <c r="AI30" s="21">
        <v>0.27500000000000002</v>
      </c>
      <c r="AJ30" s="21">
        <v>0.22899999999999998</v>
      </c>
      <c r="AK30" s="21">
        <v>0.14499999999999999</v>
      </c>
      <c r="AL30" s="21">
        <v>4.4999999999999998E-2</v>
      </c>
      <c r="AM30" s="21">
        <v>7.3999999999999996E-2</v>
      </c>
      <c r="AN30" s="21">
        <v>0.27800000000000002</v>
      </c>
      <c r="AO30" s="21">
        <v>0.156</v>
      </c>
      <c r="AP30" s="21">
        <v>0.35304848583625703</v>
      </c>
      <c r="AQ30" s="21">
        <v>0.215</v>
      </c>
      <c r="AR30" s="21">
        <v>0.254</v>
      </c>
      <c r="AS30" s="11">
        <v>0.60199999999999998</v>
      </c>
      <c r="AT30" s="11">
        <v>0.39800000000000002</v>
      </c>
      <c r="AU30" s="17">
        <v>0.35599999999999998</v>
      </c>
      <c r="AV30" s="17">
        <v>0.34200000000000003</v>
      </c>
      <c r="AW30" s="11">
        <v>0.216</v>
      </c>
      <c r="AX30" s="11">
        <v>0.33900000000000002</v>
      </c>
      <c r="AY30" s="11">
        <v>0.31900000000000001</v>
      </c>
      <c r="AZ30" s="11">
        <v>0.36862474508675935</v>
      </c>
      <c r="BA30" s="11">
        <v>0.26786310881280595</v>
      </c>
      <c r="BB30" s="11">
        <v>0.26185720543144986</v>
      </c>
      <c r="BC30" s="11">
        <v>0.3386765375548309</v>
      </c>
      <c r="BD30" s="11">
        <v>0.31370299754919839</v>
      </c>
      <c r="BE30" s="11">
        <v>0.28899999999999998</v>
      </c>
      <c r="BF30" s="11">
        <v>0.25700000000000001</v>
      </c>
      <c r="BG30" s="11">
        <v>0.30199999999999999</v>
      </c>
      <c r="BH30" s="11">
        <v>0.35299999999999998</v>
      </c>
      <c r="BI30" s="11">
        <v>0.31</v>
      </c>
      <c r="BJ30" s="11">
        <f>BJ29/BJ3</f>
        <v>3.9799649408410283E-7</v>
      </c>
      <c r="BK30" s="11">
        <f>BK29/BK3</f>
        <v>4.6366144835206027E-7</v>
      </c>
      <c r="BL30" s="11">
        <f>BL29/BL3</f>
        <v>3.722848102902005E-7</v>
      </c>
      <c r="BM30" s="11">
        <f>BM29/BM3</f>
        <v>1.3999805742215156E-7</v>
      </c>
      <c r="BN30" s="11">
        <f>BN29/BN3</f>
        <v>2.4027392679571717E-7</v>
      </c>
      <c r="BO30" s="11">
        <f>BO29/BO3</f>
        <v>8.8522023093983753E-8</v>
      </c>
      <c r="BP30" s="11">
        <f>BP29/BP3</f>
        <v>2.167673047504449E-7</v>
      </c>
      <c r="BQ30" s="11">
        <f>BQ29/BQ3</f>
        <v>2.959234630892565E-7</v>
      </c>
      <c r="BR30" s="11">
        <f>BR29/BR3</f>
        <v>1.2521961946821951E-7</v>
      </c>
      <c r="BS30" s="11">
        <f>BS29/BS3</f>
        <v>2.1404874105540588E-7</v>
      </c>
      <c r="BT30" s="11">
        <f>BT29/BT3</f>
        <v>8.3868876367580001E-8</v>
      </c>
      <c r="BU30" s="11">
        <f>BU29/BU3</f>
        <v>1.7118678830355208E-7</v>
      </c>
      <c r="BV30" s="11">
        <f>BV29/BV3</f>
        <v>5.7364725433231604E-8</v>
      </c>
      <c r="BW30" s="11">
        <f>BW29/BW3</f>
        <v>2.0099143759599406E-7</v>
      </c>
      <c r="BX30" s="11">
        <f>BX29/BX3</f>
        <v>2.6527317872136352E-7</v>
      </c>
      <c r="BY30" s="11">
        <f>BY29/BY3</f>
        <v>1.1498275995438908E-7</v>
      </c>
      <c r="BZ30" s="11">
        <f>BZ29/BZ3</f>
        <v>1.8108971131507304E-7</v>
      </c>
      <c r="CA30" s="11">
        <f>CA29/CA3</f>
        <v>7.213319096179121E-8</v>
      </c>
      <c r="CB30" s="11">
        <f>CB29/CB3</f>
        <v>1.829136847497292E-7</v>
      </c>
      <c r="CC30" s="11">
        <f>CC29/CC3</f>
        <v>5.1810062465214991E-8</v>
      </c>
    </row>
    <row r="31" spans="1:82" hidden="1" x14ac:dyDescent="0.35">
      <c r="A31" s="1" t="s">
        <v>66</v>
      </c>
      <c r="B31" s="21">
        <v>0.44900000000000001</v>
      </c>
      <c r="C31" s="11">
        <v>-0.186</v>
      </c>
      <c r="D31" s="21">
        <v>-0.53900000000000003</v>
      </c>
      <c r="E31" s="21">
        <v>0.33100000000000002</v>
      </c>
      <c r="F31" s="11">
        <v>0.11799999999999999</v>
      </c>
      <c r="G31" s="21">
        <v>-1.0999999999999999E-2</v>
      </c>
      <c r="H31" s="21">
        <v>0.36599999999999999</v>
      </c>
      <c r="I31" s="11">
        <v>0.33100000000000002</v>
      </c>
      <c r="J31" s="21">
        <v>0.20399999999999999</v>
      </c>
      <c r="K31" s="11">
        <v>0.23</v>
      </c>
      <c r="L31" s="11">
        <v>0.314</v>
      </c>
      <c r="M31" s="11">
        <v>0.32600000000000001</v>
      </c>
      <c r="N31" s="11">
        <v>0.43099999999999999</v>
      </c>
      <c r="O31" s="11">
        <v>0.23799999999999999</v>
      </c>
      <c r="P31" s="11">
        <v>0.32400000000000001</v>
      </c>
      <c r="Q31" s="11">
        <v>0.29699999999999999</v>
      </c>
      <c r="R31" s="11">
        <v>0.27600000000000002</v>
      </c>
      <c r="S31" s="11">
        <v>0.252</v>
      </c>
      <c r="T31" s="11">
        <v>0.28100000000000003</v>
      </c>
      <c r="U31" s="11">
        <v>0.29499999999999998</v>
      </c>
      <c r="V31" s="11">
        <v>0.33799999999999997</v>
      </c>
      <c r="W31" s="11">
        <v>0.153</v>
      </c>
      <c r="X31" s="11">
        <v>0.17100000000000001</v>
      </c>
      <c r="Y31" s="11">
        <v>0.23300000000000001</v>
      </c>
      <c r="Z31" s="11">
        <v>0.22600000000000001</v>
      </c>
      <c r="AA31" s="11">
        <v>0.30380000000000001</v>
      </c>
      <c r="AB31" s="11">
        <v>0.24099999999999999</v>
      </c>
      <c r="AC31" s="11">
        <v>0.20300000000000001</v>
      </c>
      <c r="AD31" s="11">
        <v>0.22500000000000001</v>
      </c>
      <c r="AE31" s="11">
        <v>0.24</v>
      </c>
      <c r="AF31" s="11">
        <v>0.184</v>
      </c>
      <c r="AG31" s="11">
        <v>0.23699999999999999</v>
      </c>
      <c r="AH31" s="11">
        <v>0.16899999999999998</v>
      </c>
      <c r="AI31" s="11">
        <v>0.27500000000000002</v>
      </c>
      <c r="AJ31" s="11">
        <v>0.22899999999999998</v>
      </c>
      <c r="AK31" s="9">
        <v>0.14499999999999999</v>
      </c>
      <c r="AL31" s="8">
        <v>4.4999999999999998E-2</v>
      </c>
      <c r="AM31" s="8">
        <v>7.3999999999999996E-2</v>
      </c>
      <c r="AN31" s="8">
        <v>0.27800000000000002</v>
      </c>
      <c r="AO31" s="8">
        <v>0.156</v>
      </c>
      <c r="AP31" s="11">
        <v>0.35304848583625703</v>
      </c>
      <c r="AQ31" s="13">
        <v>0.215</v>
      </c>
      <c r="AR31" s="13">
        <v>0.254</v>
      </c>
      <c r="AS31" s="11">
        <v>0.36</v>
      </c>
      <c r="AT31" s="11">
        <v>0.36</v>
      </c>
      <c r="AU31" s="17">
        <v>0.35599999999999998</v>
      </c>
      <c r="AV31" s="17">
        <v>0.34200000000000003</v>
      </c>
      <c r="AW31" s="11">
        <v>0.216</v>
      </c>
      <c r="AX31" s="11">
        <v>0.33700000000000002</v>
      </c>
      <c r="AY31" s="11">
        <v>0.31900000000000001</v>
      </c>
      <c r="AZ31" s="11">
        <v>0.36862474508675935</v>
      </c>
      <c r="BA31" s="11">
        <v>0.26786310881280595</v>
      </c>
      <c r="BB31" s="11">
        <v>0.26185720543144986</v>
      </c>
      <c r="BC31" s="11">
        <v>0.2407567246849931</v>
      </c>
      <c r="BD31" s="11">
        <v>0.28207444679512839</v>
      </c>
      <c r="BE31" s="11">
        <v>0.28899999999999998</v>
      </c>
      <c r="BF31" s="11">
        <v>0.25700000000000001</v>
      </c>
      <c r="BG31" s="11">
        <v>0.30199999999999999</v>
      </c>
      <c r="BH31" s="11">
        <v>0.35299999999999998</v>
      </c>
      <c r="BI31" s="11">
        <v>0.31</v>
      </c>
      <c r="BJ31" s="11">
        <f>BJ30/BJ3</f>
        <v>4.8096834292148892E-13</v>
      </c>
      <c r="BK31" s="11">
        <f>BK30/BK3</f>
        <v>4.4418270422373675E-13</v>
      </c>
      <c r="BL31" s="11">
        <f>BL30/BL3</f>
        <v>3.95052055288534E-13</v>
      </c>
      <c r="BM31" s="11">
        <f>BM30/BM3</f>
        <v>4.9755716450374937E-14</v>
      </c>
      <c r="BN31" s="11">
        <f>BN30/BN3</f>
        <v>1.5506555783238142E-13</v>
      </c>
      <c r="BO31" s="11">
        <f>BO30/BO3</f>
        <v>2.0288279292993863E-14</v>
      </c>
      <c r="BP31" s="11">
        <f>BP30/BP3</f>
        <v>8.9979400720875629E-14</v>
      </c>
      <c r="BQ31" s="11">
        <f>BQ30/BQ3</f>
        <v>1.7774333896087943E-13</v>
      </c>
      <c r="BR31" s="11">
        <f>BR30/BR3</f>
        <v>3.073651750129162E-14</v>
      </c>
      <c r="BS31" s="11">
        <f>BS30/BS3</f>
        <v>1.5819207021493398E-13</v>
      </c>
      <c r="BT31" s="11">
        <f>BT30/BT3</f>
        <v>1.5453821139308475E-14</v>
      </c>
      <c r="BW31" s="11">
        <f>BW30/BW3</f>
        <v>9.0564628092899865E-14</v>
      </c>
    </row>
    <row r="32" spans="1:82" hidden="1" x14ac:dyDescent="0.35">
      <c r="A32" s="1" t="s">
        <v>67</v>
      </c>
      <c r="B32" s="20" t="s">
        <v>68</v>
      </c>
      <c r="C32" s="20" t="s">
        <v>68</v>
      </c>
      <c r="D32" s="20" t="s">
        <v>68</v>
      </c>
      <c r="E32" s="20" t="s">
        <v>68</v>
      </c>
      <c r="F32" s="20" t="s">
        <v>68</v>
      </c>
      <c r="G32" s="20" t="s">
        <v>68</v>
      </c>
      <c r="H32" s="20" t="s">
        <v>68</v>
      </c>
      <c r="I32" s="20" t="s">
        <v>68</v>
      </c>
      <c r="J32" s="20" t="s">
        <v>68</v>
      </c>
      <c r="K32" s="20" t="s">
        <v>68</v>
      </c>
      <c r="L32" s="20" t="s">
        <v>68</v>
      </c>
      <c r="M32" s="20" t="s">
        <v>68</v>
      </c>
      <c r="N32" s="20" t="s">
        <v>68</v>
      </c>
      <c r="O32" s="20" t="s">
        <v>68</v>
      </c>
      <c r="P32" s="20" t="s">
        <v>68</v>
      </c>
      <c r="Q32" s="20" t="s">
        <v>68</v>
      </c>
      <c r="R32" s="20" t="s">
        <v>68</v>
      </c>
      <c r="S32" s="20" t="s">
        <v>68</v>
      </c>
      <c r="T32" s="20" t="s">
        <v>68</v>
      </c>
      <c r="U32" s="20" t="s">
        <v>68</v>
      </c>
      <c r="V32" s="20" t="s">
        <v>68</v>
      </c>
      <c r="W32" s="20" t="s">
        <v>68</v>
      </c>
      <c r="X32" s="20" t="s">
        <v>68</v>
      </c>
      <c r="Y32" s="20" t="s">
        <v>68</v>
      </c>
      <c r="Z32" s="20" t="s">
        <v>68</v>
      </c>
      <c r="AA32" s="20" t="s">
        <v>68</v>
      </c>
      <c r="AB32" s="20" t="s">
        <v>68</v>
      </c>
      <c r="AC32" s="20" t="s">
        <v>68</v>
      </c>
      <c r="AD32" s="20" t="s">
        <v>68</v>
      </c>
      <c r="AE32" s="20" t="s">
        <v>68</v>
      </c>
      <c r="AF32" s="20" t="s">
        <v>68</v>
      </c>
      <c r="AG32" s="20" t="s">
        <v>68</v>
      </c>
      <c r="AH32" s="20" t="s">
        <v>68</v>
      </c>
      <c r="AI32" s="20" t="s">
        <v>68</v>
      </c>
      <c r="AJ32" s="20" t="s">
        <v>68</v>
      </c>
      <c r="AK32" s="20" t="s">
        <v>68</v>
      </c>
      <c r="AL32" s="20" t="s">
        <v>68</v>
      </c>
      <c r="AM32" s="20" t="s">
        <v>68</v>
      </c>
      <c r="AN32" s="20" t="s">
        <v>68</v>
      </c>
      <c r="AO32" s="20" t="s">
        <v>68</v>
      </c>
      <c r="AP32" s="20" t="s">
        <v>68</v>
      </c>
      <c r="AQ32" s="20" t="s">
        <v>68</v>
      </c>
      <c r="AR32" s="20" t="s">
        <v>68</v>
      </c>
      <c r="AS32" s="15">
        <v>170205</v>
      </c>
      <c r="AT32" s="15">
        <v>170205</v>
      </c>
      <c r="AU32" s="22" t="s">
        <v>68</v>
      </c>
      <c r="AV32" s="22" t="s">
        <v>68</v>
      </c>
      <c r="AW32" s="19" t="s">
        <v>68</v>
      </c>
      <c r="AX32" s="19">
        <v>1165</v>
      </c>
      <c r="AY32" s="19">
        <v>1165</v>
      </c>
      <c r="AZ32" s="19" t="s">
        <v>68</v>
      </c>
      <c r="BA32" s="19" t="s">
        <v>68</v>
      </c>
      <c r="BB32" s="19" t="s">
        <v>68</v>
      </c>
      <c r="BC32" s="19">
        <v>80207</v>
      </c>
      <c r="BD32" s="19">
        <v>80207</v>
      </c>
      <c r="BE32" s="19" t="s">
        <v>68</v>
      </c>
      <c r="BF32" s="19" t="s">
        <v>68</v>
      </c>
      <c r="BG32" s="19" t="s">
        <v>68</v>
      </c>
      <c r="BH32" s="19" t="s">
        <v>68</v>
      </c>
      <c r="BI32" s="19" t="s">
        <v>68</v>
      </c>
      <c r="BJ32" s="19" t="s">
        <v>68</v>
      </c>
      <c r="BK32" s="19" t="s">
        <v>68</v>
      </c>
      <c r="BL32" s="19" t="s">
        <v>68</v>
      </c>
      <c r="BM32" s="19" t="s">
        <v>68</v>
      </c>
      <c r="BN32" s="19" t="s">
        <v>68</v>
      </c>
      <c r="BO32" s="19" t="s">
        <v>68</v>
      </c>
      <c r="BP32" s="19">
        <v>1379</v>
      </c>
      <c r="BQ32" s="19" t="s">
        <v>68</v>
      </c>
      <c r="BR32" s="19">
        <f t="shared" ref="BR32" si="9">SUM(BP32:BQ32)</f>
        <v>1379</v>
      </c>
      <c r="BS32" s="19">
        <v>0</v>
      </c>
      <c r="BT32" s="14">
        <f t="shared" ref="BT32" si="10">BR32+BS32</f>
        <v>1379</v>
      </c>
      <c r="BW32" s="19">
        <v>1379</v>
      </c>
    </row>
    <row r="33" spans="1:64" x14ac:dyDescent="0.35">
      <c r="A33" s="23"/>
      <c r="B33" s="16" t="s">
        <v>69</v>
      </c>
      <c r="AK33" s="10"/>
      <c r="AL33" s="10"/>
    </row>
    <row r="34" spans="1:64" ht="14.25" customHeight="1" x14ac:dyDescent="0.3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BL34" s="19" t="s">
        <v>68</v>
      </c>
    </row>
  </sheetData>
  <mergeCells count="2">
    <mergeCell ref="A34:R34"/>
    <mergeCell ref="A1:AK1"/>
  </mergeCells>
  <pageMargins left="0.78740157499999996" right="0.78740157499999996" top="0.984251969" bottom="0.984251969" header="0.4921259845" footer="0.492125984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8" ma:contentTypeDescription="Create a new document." ma:contentTypeScope="" ma:versionID="e1fdc228ddc0c33739d3b62ded335ddf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51e71f26df4e3ce92bcd9f6a6bd171f9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51DD74-C7E6-40CE-B754-EBD9A482C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dfc1a8-b777-4321-a74f-896313141591"/>
    <ds:schemaRef ds:uri="4c99e0e0-a7ff-498c-a891-888aae3c0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AF9293-9AA9-48FB-8E27-66C1C31AE7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AFC195-FAFA-409F-82C9-F871313C73C6}">
  <ds:schemaRefs>
    <ds:schemaRef ds:uri="http://schemas.microsoft.com/office/2006/metadata/properties"/>
    <ds:schemaRef ds:uri="http://www.w3.org/XML/1998/namespace"/>
    <ds:schemaRef ds:uri="29dfc1a8-b777-4321-a74f-896313141591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c99e0e0-a7ff-498c-a891-888aae3c0d4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EBITDA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subject/>
  <dc:creator>Alisandra Matos - SLC Agricola</dc:creator>
  <cp:keywords/>
  <dc:description/>
  <cp:lastModifiedBy>Stefano Bing - SLC Agrícola</cp:lastModifiedBy>
  <cp:revision/>
  <dcterms:created xsi:type="dcterms:W3CDTF">2016-07-11T18:05:46Z</dcterms:created>
  <dcterms:modified xsi:type="dcterms:W3CDTF">2024-05-13T20:21:17Z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