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omments3.xml" ContentType="application/vnd.openxmlformats-officedocument.spreadsheetml.comments+xml"/>
  <Override PartName="/xl/drawings/drawing11.xml" ContentType="application/vnd.openxmlformats-officedocument.drawing+xml"/>
  <Override PartName="/xl/drawings/drawing12.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codeName="EstaPasta_de_trabalho" defaultThemeVersion="124226"/>
  <mc:AlternateContent xmlns:mc="http://schemas.openxmlformats.org/markup-compatibility/2006">
    <mc:Choice Requires="x15">
      <x15ac:absPath xmlns:x15ac="http://schemas.microsoft.com/office/spreadsheetml/2010/11/ac" url="C:\Users\stefano.bing\Desktop\"/>
    </mc:Choice>
  </mc:AlternateContent>
  <xr:revisionPtr revIDLastSave="0" documentId="13_ncr:1_{F80225E1-3845-43D7-9085-1503998ADB2D}" xr6:coauthVersionLast="46" xr6:coauthVersionMax="46" xr10:uidLastSave="{00000000-0000-0000-0000-000000000000}"/>
  <bookViews>
    <workbookView xWindow="-120" yWindow="-120" windowWidth="20730" windowHeight="11160" tabRatio="880" xr2:uid="{00000000-000D-0000-FFFF-FFFF00000000}"/>
  </bookViews>
  <sheets>
    <sheet name="Dashboard" sheetId="15" r:id="rId1"/>
    <sheet name="Assumptions" sheetId="31" r:id="rId2"/>
    <sheet name="Land Sales and Purchase" sheetId="54" r:id="rId3"/>
    <sheet name="Production" sheetId="27" r:id="rId4"/>
    <sheet name="Revenue" sheetId="33" r:id="rId5"/>
    <sheet name="Costs" sheetId="29" r:id="rId6"/>
    <sheet name="WC" sheetId="35" r:id="rId7"/>
    <sheet name="IS" sheetId="26" r:id="rId8"/>
    <sheet name="NOPAT" sheetId="41" r:id="rId9"/>
    <sheet name="Valuation" sheetId="43" r:id="rId10"/>
    <sheet name="BS" sheetId="6" r:id="rId11"/>
    <sheet name="Indicators" sheetId="53" r:id="rId12"/>
  </sheets>
  <externalReferences>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s>
  <definedNames>
    <definedName name="\a">#REF!</definedName>
    <definedName name="\b">#REF!</definedName>
    <definedName name="\C">#REF!</definedName>
    <definedName name="\t">#REF!</definedName>
    <definedName name="\x">#REF!</definedName>
    <definedName name="__123Graph_A" hidden="1">[1]Conselho!#REF!</definedName>
    <definedName name="__123Graph_AENDIVIDA" hidden="1">[1]Conselho!#REF!</definedName>
    <definedName name="__123Graph_B" hidden="1">[1]Conselho!#REF!</definedName>
    <definedName name="__123Graph_BENDIVIDA" hidden="1">[1]Conselho!#REF!</definedName>
    <definedName name="__123Graph_C" hidden="1">[1]Conselho!#REF!</definedName>
    <definedName name="__123Graph_CENDIVIDA" hidden="1">[1]Conselho!#REF!</definedName>
    <definedName name="__123Graph_D" hidden="1">[1]Conselho!#REF!</definedName>
    <definedName name="__123Graph_DENDIVIDA" hidden="1">[1]Conselho!#REF!</definedName>
    <definedName name="__123Graph_E" hidden="1">[1]Conselho!#REF!</definedName>
    <definedName name="__123Graph_EENDIVIDA" hidden="1">[1]Conselho!#REF!</definedName>
    <definedName name="__123Graph_F" hidden="1">[1]Conselho!#REF!</definedName>
    <definedName name="__123Graph_FENDIVIDA" hidden="1">[1]Conselho!#REF!</definedName>
    <definedName name="__123Graph_X" hidden="1">[1]Conselho!#REF!</definedName>
    <definedName name="__123Graph_XENDIVIDA" hidden="1">[1]Conselho!#REF!</definedName>
    <definedName name="__CAB1">#REF!</definedName>
    <definedName name="__REC01">#REF!</definedName>
    <definedName name="__REC02">#REF!</definedName>
    <definedName name="__REC03">#REF!</definedName>
    <definedName name="__REC04">#REF!</definedName>
    <definedName name="__REC05">#REF!</definedName>
    <definedName name="__REC06">#REF!</definedName>
    <definedName name="_1_?_0FLU">[2]projdo!#REF!</definedName>
    <definedName name="_1_0pf1">[3]DIAMOND!#REF!</definedName>
    <definedName name="_2_0BL">[4]Returns!#REF!</definedName>
    <definedName name="_3ALL">#REF!</definedName>
    <definedName name="_4_0i">[3]DIAMOND!#REF!</definedName>
    <definedName name="_afg1116">#REF!</definedName>
    <definedName name="_as1000" localSheetId="1">Assumptions!_as1000</definedName>
    <definedName name="_as1000" localSheetId="5">Costs!_as1000</definedName>
    <definedName name="_as1000" localSheetId="11">Indicators!_as1000</definedName>
    <definedName name="_as1000" localSheetId="2">'Land Sales and Purchase'!_as1000</definedName>
    <definedName name="_as1000" localSheetId="8">NOPAT!_as1000</definedName>
    <definedName name="_as1000" localSheetId="4">Revenue!_as1000</definedName>
    <definedName name="_as1000" localSheetId="9">Valuation!_as1000</definedName>
    <definedName name="_as1000" localSheetId="6">WC!_as1000</definedName>
    <definedName name="_as1000">[0]!_as1000</definedName>
    <definedName name="_as2" localSheetId="1">Assumptions!_as2</definedName>
    <definedName name="_as2" localSheetId="5">Costs!_as2</definedName>
    <definedName name="_as2" localSheetId="11">Indicators!_as2</definedName>
    <definedName name="_as2" localSheetId="2">'Land Sales and Purchase'!_as2</definedName>
    <definedName name="_as2" localSheetId="8">NOPAT!_as2</definedName>
    <definedName name="_as2" localSheetId="4">Revenue!_as2</definedName>
    <definedName name="_as2" localSheetId="9">Valuation!_as2</definedName>
    <definedName name="_as2" localSheetId="6">WC!_as2</definedName>
    <definedName name="_as2">[0]!_as2</definedName>
    <definedName name="_asd2" localSheetId="1">Assumptions!_asd2</definedName>
    <definedName name="_asd2" localSheetId="5">Costs!_asd2</definedName>
    <definedName name="_asd2" localSheetId="11">Indicators!_asd2</definedName>
    <definedName name="_asd2" localSheetId="2">'Land Sales and Purchase'!_asd2</definedName>
    <definedName name="_asd2" localSheetId="8">NOPAT!_asd2</definedName>
    <definedName name="_asd2" localSheetId="4">Revenue!_asd2</definedName>
    <definedName name="_asd2" localSheetId="9">Valuation!_asd2</definedName>
    <definedName name="_asd2" localSheetId="6">WC!_asd2</definedName>
    <definedName name="_asd2">[0]!_asd2</definedName>
    <definedName name="_b1">[5]WORKIDD!#REF!</definedName>
    <definedName name="_b2" localSheetId="1">Assumptions!_b2</definedName>
    <definedName name="_b2" localSheetId="5">Costs!_b2</definedName>
    <definedName name="_b2" localSheetId="11">Indicators!_b2</definedName>
    <definedName name="_b2" localSheetId="2">'Land Sales and Purchase'!_b2</definedName>
    <definedName name="_b2" localSheetId="8">NOPAT!_b2</definedName>
    <definedName name="_b2" localSheetId="4">Revenue!_b2</definedName>
    <definedName name="_b2" localSheetId="9">Valuation!_b2</definedName>
    <definedName name="_b2" localSheetId="6">WC!_b2</definedName>
    <definedName name="_b2">[0]!_b2</definedName>
    <definedName name="_b21" localSheetId="1">Assumptions!_b21</definedName>
    <definedName name="_b21" localSheetId="5">Costs!_b21</definedName>
    <definedName name="_b21" localSheetId="11">Indicators!_b21</definedName>
    <definedName name="_b21" localSheetId="2">'Land Sales and Purchase'!_b21</definedName>
    <definedName name="_b21" localSheetId="8">NOPAT!_b21</definedName>
    <definedName name="_b21" localSheetId="4">Revenue!_b21</definedName>
    <definedName name="_b21" localSheetId="9">Valuation!_b21</definedName>
    <definedName name="_b21" localSheetId="6">WC!_b21</definedName>
    <definedName name="_b21">[0]!_b21</definedName>
    <definedName name="_b3">#REF!</definedName>
    <definedName name="_CAB1">#REF!</definedName>
    <definedName name="_j2" localSheetId="1" hidden="1">{TRUE,TRUE,-1.25,-15.5,604.5,369,FALSE,FALSE,TRUE,TRUE,0,1,83,1,38,4,5,4,TRUE,TRUE,3,TRUE,1,TRUE,75,"Swvu.inputs._.raw._.data.","ACwvu.inputs._.raw._.data.",#N/A,FALSE,FALSE,0.5,0.5,0.5,0.5,2,"&amp;F","&amp;A&amp;RPage &amp;P",FALSE,FALSE,FALSE,FALSE,1,60,#N/A,#N/A,"=R1C61:R53C89","=C1:C5",#N/A,#N/A,FALSE,FALSE,FALSE,1,600,600,FALSE,FALSE,TRUE,TRUE,TRUE}</definedName>
    <definedName name="_j2" localSheetId="5" hidden="1">{TRUE,TRUE,-1.25,-15.5,604.5,369,FALSE,FALSE,TRUE,TRUE,0,1,83,1,38,4,5,4,TRUE,TRUE,3,TRUE,1,TRUE,75,"Swvu.inputs._.raw._.data.","ACwvu.inputs._.raw._.data.",#N/A,FALSE,FALSE,0.5,0.5,0.5,0.5,2,"&amp;F","&amp;A&amp;RPage &amp;P",FALSE,FALSE,FALSE,FALSE,1,60,#N/A,#N/A,"=R1C61:R53C89","=C1:C5",#N/A,#N/A,FALSE,FALSE,FALSE,1,600,600,FALSE,FALSE,TRUE,TRUE,TRUE}</definedName>
    <definedName name="_j2" localSheetId="11" hidden="1">{TRUE,TRUE,-1.25,-15.5,604.5,369,FALSE,FALSE,TRUE,TRUE,0,1,83,1,38,4,5,4,TRUE,TRUE,3,TRUE,1,TRUE,75,"Swvu.inputs._.raw._.data.","ACwvu.inputs._.raw._.data.",#N/A,FALSE,FALSE,0.5,0.5,0.5,0.5,2,"&amp;F","&amp;A&amp;RPage &amp;P",FALSE,FALSE,FALSE,FALSE,1,60,#N/A,#N/A,"=R1C61:R53C89","=C1:C5",#N/A,#N/A,FALSE,FALSE,FALSE,1,600,600,FALSE,FALSE,TRUE,TRUE,TRUE}</definedName>
    <definedName name="_j2" localSheetId="2" hidden="1">{TRUE,TRUE,-1.25,-15.5,604.5,369,FALSE,FALSE,TRUE,TRUE,0,1,83,1,38,4,5,4,TRUE,TRUE,3,TRUE,1,TRUE,75,"Swvu.inputs._.raw._.data.","ACwvu.inputs._.raw._.data.",#N/A,FALSE,FALSE,0.5,0.5,0.5,0.5,2,"&amp;F","&amp;A&amp;RPage &amp;P",FALSE,FALSE,FALSE,FALSE,1,60,#N/A,#N/A,"=R1C61:R53C89","=C1:C5",#N/A,#N/A,FALSE,FALSE,FALSE,1,600,600,FALSE,FALSE,TRUE,TRUE,TRUE}</definedName>
    <definedName name="_j2" localSheetId="8" hidden="1">{TRUE,TRUE,-1.25,-15.5,604.5,369,FALSE,FALSE,TRUE,TRUE,0,1,83,1,38,4,5,4,TRUE,TRUE,3,TRUE,1,TRUE,75,"Swvu.inputs._.raw._.data.","ACwvu.inputs._.raw._.data.",#N/A,FALSE,FALSE,0.5,0.5,0.5,0.5,2,"&amp;F","&amp;A&amp;RPage &amp;P",FALSE,FALSE,FALSE,FALSE,1,60,#N/A,#N/A,"=R1C61:R53C89","=C1:C5",#N/A,#N/A,FALSE,FALSE,FALSE,1,600,600,FALSE,FALSE,TRUE,TRUE,TRUE}</definedName>
    <definedName name="_j2" localSheetId="4" hidden="1">{TRUE,TRUE,-1.25,-15.5,604.5,369,FALSE,FALSE,TRUE,TRUE,0,1,83,1,38,4,5,4,TRUE,TRUE,3,TRUE,1,TRUE,75,"Swvu.inputs._.raw._.data.","ACwvu.inputs._.raw._.data.",#N/A,FALSE,FALSE,0.5,0.5,0.5,0.5,2,"&amp;F","&amp;A&amp;RPage &amp;P",FALSE,FALSE,FALSE,FALSE,1,60,#N/A,#N/A,"=R1C61:R53C89","=C1:C5",#N/A,#N/A,FALSE,FALSE,FALSE,1,600,600,FALSE,FALSE,TRUE,TRUE,TRUE}</definedName>
    <definedName name="_j2" localSheetId="9" hidden="1">{TRUE,TRUE,-1.25,-15.5,604.5,369,FALSE,FALSE,TRUE,TRUE,0,1,83,1,38,4,5,4,TRUE,TRUE,3,TRUE,1,TRUE,75,"Swvu.inputs._.raw._.data.","ACwvu.inputs._.raw._.data.",#N/A,FALSE,FALSE,0.5,0.5,0.5,0.5,2,"&amp;F","&amp;A&amp;RPage &amp;P",FALSE,FALSE,FALSE,FALSE,1,60,#N/A,#N/A,"=R1C61:R53C89","=C1:C5",#N/A,#N/A,FALSE,FALSE,FALSE,1,600,600,FALSE,FALSE,TRUE,TRUE,TRUE}</definedName>
    <definedName name="_j2" localSheetId="6" hidden="1">{TRUE,TRUE,-1.25,-15.5,604.5,369,FALSE,FALSE,TRUE,TRUE,0,1,83,1,38,4,5,4,TRUE,TRUE,3,TRUE,1,TRUE,75,"Swvu.inputs._.raw._.data.","ACwvu.inputs._.raw._.data.",#N/A,FALSE,FALSE,0.5,0.5,0.5,0.5,2,"&amp;F","&amp;A&amp;RPage &amp;P",FALSE,FALSE,FALSE,FALSE,1,60,#N/A,#N/A,"=R1C61:R53C89","=C1:C5",#N/A,#N/A,FALSE,FALSE,FALSE,1,600,600,FALSE,FALSE,TRUE,TRUE,TRUE}</definedName>
    <definedName name="_j2" hidden="1">{TRUE,TRUE,-1.25,-15.5,604.5,369,FALSE,FALSE,TRUE,TRUE,0,1,83,1,38,4,5,4,TRUE,TRUE,3,TRUE,1,TRUE,75,"Swvu.inputs._.raw._.data.","ACwvu.inputs._.raw._.data.",#N/A,FALSE,FALSE,0.5,0.5,0.5,0.5,2,"&amp;F","&amp;A&amp;RPage &amp;P",FALSE,FALSE,FALSE,FALSE,1,60,#N/A,#N/A,"=R1C61:R53C89","=C1:C5",#N/A,#N/A,FALSE,FALSE,FALSE,1,600,600,FALSE,FALSE,TRUE,TRUE,TRUE}</definedName>
    <definedName name="_Key1" hidden="1">#REF!</definedName>
    <definedName name="_Key2" hidden="1">#REF!</definedName>
    <definedName name="_Order1" hidden="1">255</definedName>
    <definedName name="_Order2" hidden="1">255</definedName>
    <definedName name="_PAG1">#REF!</definedName>
    <definedName name="_PAG2">#REF!</definedName>
    <definedName name="_PAG3">#REF!</definedName>
    <definedName name="_PAG4">#REF!</definedName>
    <definedName name="_r">'[6] CDS'!#REF!</definedName>
    <definedName name="_REC01">#REF!</definedName>
    <definedName name="_REC02">#REF!</definedName>
    <definedName name="_REC03">#REF!</definedName>
    <definedName name="_REC04">#REF!</definedName>
    <definedName name="_REC05">#REF!</definedName>
    <definedName name="_REC06">#REF!</definedName>
    <definedName name="_Sort" hidden="1">#REF!</definedName>
    <definedName name="a" localSheetId="1">{"IBESD","WWP","I22","N","0","0","H"}</definedName>
    <definedName name="a" localSheetId="11">{"IBESD","WWP","I22","N","0","0","H"}</definedName>
    <definedName name="a" localSheetId="8">{"IBESD","WWP","I22","N","0","0","H"}</definedName>
    <definedName name="a" localSheetId="4">{"IBESD","WWP","I22","N","0","0","H"}</definedName>
    <definedName name="a" localSheetId="9">{"IBESD","WWP","I22","N","0","0","H"}</definedName>
    <definedName name="a">'[7]Ind Econ e Financ'!$D$14</definedName>
    <definedName name="aa" localSheetId="1">Assumptions!aa</definedName>
    <definedName name="aa" localSheetId="5">Costs!aa</definedName>
    <definedName name="aa" localSheetId="11">Indicators!aa</definedName>
    <definedName name="aa" localSheetId="2">'Land Sales and Purchase'!aa</definedName>
    <definedName name="aa" localSheetId="8">NOPAT!aa</definedName>
    <definedName name="aa" localSheetId="4">Revenue!aa</definedName>
    <definedName name="aa" localSheetId="9">Valuation!aa</definedName>
    <definedName name="aa" localSheetId="6">WC!aa</definedName>
    <definedName name="aa">[0]!aa</definedName>
    <definedName name="aaa">#REF!</definedName>
    <definedName name="aaaa">'[7]Ind Econ e Financ'!$D$14</definedName>
    <definedName name="aaaaa">'[7]Ind Econ e Financ'!$D$14</definedName>
    <definedName name="aaaaaa" localSheetId="1">Assumptions!aaaaaa</definedName>
    <definedName name="aaaaaa" localSheetId="5">Costs!aaaaaa</definedName>
    <definedName name="aaaaaa" localSheetId="11">Indicators!aaaaaa</definedName>
    <definedName name="aaaaaa" localSheetId="2">'Land Sales and Purchase'!aaaaaa</definedName>
    <definedName name="aaaaaa" localSheetId="8">NOPAT!aaaaaa</definedName>
    <definedName name="aaaaaa" localSheetId="4">Revenue!aaaaaa</definedName>
    <definedName name="aaaaaa" localSheetId="9">Valuation!aaaaaa</definedName>
    <definedName name="aaaaaa" localSheetId="6">WC!aaaaaa</definedName>
    <definedName name="aaaaaa">[0]!aaaaaa</definedName>
    <definedName name="aaaaaaaaaaaaaaaaaa" localSheetId="1">Assumptions!aaaaaaaaaaaaaaaaaa</definedName>
    <definedName name="aaaaaaaaaaaaaaaaaa" localSheetId="5">Costs!aaaaaaaaaaaaaaaaaa</definedName>
    <definedName name="aaaaaaaaaaaaaaaaaa" localSheetId="11">Indicators!aaaaaaaaaaaaaaaaaa</definedName>
    <definedName name="aaaaaaaaaaaaaaaaaa" localSheetId="2">'Land Sales and Purchase'!aaaaaaaaaaaaaaaaaa</definedName>
    <definedName name="aaaaaaaaaaaaaaaaaa" localSheetId="8">NOPAT!aaaaaaaaaaaaaaaaaa</definedName>
    <definedName name="aaaaaaaaaaaaaaaaaa" localSheetId="4">Revenue!aaaaaaaaaaaaaaaaaa</definedName>
    <definedName name="aaaaaaaaaaaaaaaaaa" localSheetId="9">Valuation!aaaaaaaaaaaaaaaaaa</definedName>
    <definedName name="aaaaaaaaaaaaaaaaaa" localSheetId="6">WC!aaaaaaaaaaaaaaaaaa</definedName>
    <definedName name="aaaaaaaaaaaaaaaaaa">[0]!aaaaaaaaaaaaaaaaaa</definedName>
    <definedName name="aaererc" localSheetId="1">Assumptions!aaererc</definedName>
    <definedName name="aaererc" localSheetId="5">Costs!aaererc</definedName>
    <definedName name="aaererc" localSheetId="11">Indicators!aaererc</definedName>
    <definedName name="aaererc" localSheetId="2">'Land Sales and Purchase'!aaererc</definedName>
    <definedName name="aaererc" localSheetId="8">NOPAT!aaererc</definedName>
    <definedName name="aaererc" localSheetId="4">Revenue!aaererc</definedName>
    <definedName name="aaererc" localSheetId="9">Valuation!aaererc</definedName>
    <definedName name="aaererc" localSheetId="6">WC!aaererc</definedName>
    <definedName name="aaererc">[0]!aaererc</definedName>
    <definedName name="ABAS">#REF!</definedName>
    <definedName name="abc" localSheetId="1">Assumptions!abc</definedName>
    <definedName name="abc" localSheetId="5">Costs!abc</definedName>
    <definedName name="abc" localSheetId="11">Indicators!abc</definedName>
    <definedName name="abc" localSheetId="2">'Land Sales and Purchase'!abc</definedName>
    <definedName name="abc" localSheetId="8">NOPAT!abc</definedName>
    <definedName name="abc" localSheetId="4">Revenue!abc</definedName>
    <definedName name="abc" localSheetId="9">Valuation!abc</definedName>
    <definedName name="abc" localSheetId="6">WC!abc</definedName>
    <definedName name="abc">[0]!abc</definedName>
    <definedName name="adfefadx" localSheetId="1">Assumptions!adfefadx</definedName>
    <definedName name="adfefadx" localSheetId="5">Costs!adfefadx</definedName>
    <definedName name="adfefadx" localSheetId="11">Indicators!adfefadx</definedName>
    <definedName name="adfefadx" localSheetId="2">'Land Sales and Purchase'!adfefadx</definedName>
    <definedName name="adfefadx" localSheetId="8">NOPAT!adfefadx</definedName>
    <definedName name="adfefadx" localSheetId="4">Revenue!adfefadx</definedName>
    <definedName name="adfefadx" localSheetId="9">Valuation!adfefadx</definedName>
    <definedName name="adfefadx" localSheetId="6">WC!adfefadx</definedName>
    <definedName name="adfefadx">[0]!adfefadx</definedName>
    <definedName name="afdsaff" localSheetId="1">Assumptions!afdsaff</definedName>
    <definedName name="afdsaff" localSheetId="5">Costs!afdsaff</definedName>
    <definedName name="afdsaff" localSheetId="11">Indicators!afdsaff</definedName>
    <definedName name="afdsaff" localSheetId="2">'Land Sales and Purchase'!afdsaff</definedName>
    <definedName name="afdsaff" localSheetId="8">NOPAT!afdsaff</definedName>
    <definedName name="afdsaff" localSheetId="4">Revenue!afdsaff</definedName>
    <definedName name="afdsaff" localSheetId="9">Valuation!afdsaff</definedName>
    <definedName name="afdsaff" localSheetId="6">WC!afdsaff</definedName>
    <definedName name="afdsaff">[0]!afdsaff</definedName>
    <definedName name="algodao">[8]Control!$G$13</definedName>
    <definedName name="apinte">#REF!</definedName>
    <definedName name="area">'[9]calculo indicadores'!$D$7:'[9]calculo indicadores'!$BK$35</definedName>
    <definedName name="_xlnm.Print_Area" localSheetId="1">Assumptions!$A$1:$K$63</definedName>
    <definedName name="_xlnm.Print_Area" localSheetId="8">NOPAT!$C$1:$J$9</definedName>
    <definedName name="_xlnm.Print_Area" localSheetId="4">Revenue!$A$1:$J$7</definedName>
    <definedName name="_xlnm.Print_Area" localSheetId="9">Valuation!$A$1:$G$30</definedName>
    <definedName name="_xlnm.Print_Area">#REF!</definedName>
    <definedName name="Area_impressao_IM">#REF!</definedName>
    <definedName name="asdfasdfa" localSheetId="1">Assumptions!asdfasdfa</definedName>
    <definedName name="asdfasdfa" localSheetId="5">Costs!asdfasdfa</definedName>
    <definedName name="asdfasdfa" localSheetId="11">Indicators!asdfasdfa</definedName>
    <definedName name="asdfasdfa" localSheetId="2">'Land Sales and Purchase'!asdfasdfa</definedName>
    <definedName name="asdfasdfa" localSheetId="8">NOPAT!asdfasdfa</definedName>
    <definedName name="asdfasdfa" localSheetId="4">Revenue!asdfasdfa</definedName>
    <definedName name="asdfasdfa" localSheetId="9">Valuation!asdfasdfa</definedName>
    <definedName name="asdfasdfa" localSheetId="6">WC!asdfasdfa</definedName>
    <definedName name="asdfasdfa">[0]!asdfasdfa</definedName>
    <definedName name="ATU">#REF!</definedName>
    <definedName name="atuais">[8]Control!$G$22</definedName>
    <definedName name="averagga" localSheetId="1">Assumptions!averagga</definedName>
    <definedName name="averagga" localSheetId="5">Costs!averagga</definedName>
    <definedName name="averagga" localSheetId="11">Indicators!averagga</definedName>
    <definedName name="averagga" localSheetId="2">'Land Sales and Purchase'!averagga</definedName>
    <definedName name="averagga" localSheetId="8">NOPAT!averagga</definedName>
    <definedName name="averagga" localSheetId="4">Revenue!averagga</definedName>
    <definedName name="averagga" localSheetId="9">Valuation!averagga</definedName>
    <definedName name="averagga" localSheetId="6">WC!averagga</definedName>
    <definedName name="averagga">[0]!averagga</definedName>
    <definedName name="avergga8" localSheetId="1">Assumptions!avergga8</definedName>
    <definedName name="avergga8" localSheetId="5">Costs!avergga8</definedName>
    <definedName name="avergga8" localSheetId="11">Indicators!avergga8</definedName>
    <definedName name="avergga8" localSheetId="2">'Land Sales and Purchase'!avergga8</definedName>
    <definedName name="avergga8" localSheetId="8">NOPAT!avergga8</definedName>
    <definedName name="avergga8" localSheetId="4">Revenue!avergga8</definedName>
    <definedName name="avergga8" localSheetId="9">Valuation!avergga8</definedName>
    <definedName name="avergga8" localSheetId="6">WC!avergga8</definedName>
    <definedName name="avergga8">[0]!avergga8</definedName>
    <definedName name="awq" localSheetId="1">Assumptions!awq</definedName>
    <definedName name="awq" localSheetId="5">Costs!awq</definedName>
    <definedName name="awq" localSheetId="11">Indicators!awq</definedName>
    <definedName name="awq" localSheetId="2">'Land Sales and Purchase'!awq</definedName>
    <definedName name="awq" localSheetId="8">NOPAT!awq</definedName>
    <definedName name="awq" localSheetId="4">Revenue!awq</definedName>
    <definedName name="awq" localSheetId="9">Valuation!awq</definedName>
    <definedName name="awq" localSheetId="6">WC!awq</definedName>
    <definedName name="awq">[0]!awq</definedName>
    <definedName name="AxesFormat" localSheetId="1">Assumptions!AxesFormat</definedName>
    <definedName name="AxesFormat" localSheetId="5">Costs!AxesFormat</definedName>
    <definedName name="AxesFormat" localSheetId="11">Indicators!AxesFormat</definedName>
    <definedName name="AxesFormat" localSheetId="2">'Land Sales and Purchase'!AxesFormat</definedName>
    <definedName name="AxesFormat" localSheetId="8">NOPAT!AxesFormat</definedName>
    <definedName name="AxesFormat" localSheetId="4">Revenue!AxesFormat</definedName>
    <definedName name="AxesFormat" localSheetId="9">Valuation!AxesFormat</definedName>
    <definedName name="AxesFormat" localSheetId="6">WC!AxesFormat</definedName>
    <definedName name="AxesFormat">[0]!AxesFormat</definedName>
    <definedName name="axexformat2" localSheetId="1">Assumptions!axexformat2</definedName>
    <definedName name="axexformat2" localSheetId="5">Costs!axexformat2</definedName>
    <definedName name="axexformat2" localSheetId="11">Indicators!axexformat2</definedName>
    <definedName name="axexformat2" localSheetId="2">'Land Sales and Purchase'!axexformat2</definedName>
    <definedName name="axexformat2" localSheetId="8">NOPAT!axexformat2</definedName>
    <definedName name="axexformat2" localSheetId="4">Revenue!axexformat2</definedName>
    <definedName name="axexformat2" localSheetId="9">Valuation!axexformat2</definedName>
    <definedName name="axexformat2" localSheetId="6">WC!axexformat2</definedName>
    <definedName name="axexformat2">[0]!axexformat2</definedName>
    <definedName name="b" localSheetId="1">Assumptions!b</definedName>
    <definedName name="b" localSheetId="5">Costs!b</definedName>
    <definedName name="b" localSheetId="11">Indicators!b</definedName>
    <definedName name="b" localSheetId="2">'Land Sales and Purchase'!b</definedName>
    <definedName name="b" localSheetId="8">NOPAT!b</definedName>
    <definedName name="b" localSheetId="4">Revenue!b</definedName>
    <definedName name="b" localSheetId="9">Valuation!b</definedName>
    <definedName name="b" localSheetId="6">WC!b</definedName>
    <definedName name="b">[0]!b</definedName>
    <definedName name="Balanço">#REF!</definedName>
    <definedName name="bb" localSheetId="1">Assumptions!bb</definedName>
    <definedName name="bb" localSheetId="5">Costs!bb</definedName>
    <definedName name="bb" localSheetId="11">Indicators!bb</definedName>
    <definedName name="bb" localSheetId="2">'Land Sales and Purchase'!bb</definedName>
    <definedName name="bb" localSheetId="8">NOPAT!bb</definedName>
    <definedName name="bb" localSheetId="4">Revenue!bb</definedName>
    <definedName name="bb" localSheetId="9">Valuation!bb</definedName>
    <definedName name="bb" localSheetId="6">WC!bb</definedName>
    <definedName name="bb">[0]!bb</definedName>
    <definedName name="bezerx" localSheetId="1">Assumptions!bezerx</definedName>
    <definedName name="bezerx" localSheetId="5">Costs!bezerx</definedName>
    <definedName name="bezerx" localSheetId="11">Indicators!bezerx</definedName>
    <definedName name="bezerx" localSheetId="2">'Land Sales and Purchase'!bezerx</definedName>
    <definedName name="bezerx" localSheetId="8">NOPAT!bezerx</definedName>
    <definedName name="bezerx" localSheetId="4">Revenue!bezerx</definedName>
    <definedName name="bezerx" localSheetId="9">Valuation!bezerx</definedName>
    <definedName name="bezerx" localSheetId="6">WC!bezerx</definedName>
    <definedName name="bezerx">[0]!bezerx</definedName>
    <definedName name="bhII">[8]Control!$G$16</definedName>
    <definedName name="CAB">#REF!</definedName>
    <definedName name="cambio">[10]Control!$G$28</definedName>
    <definedName name="cc" localSheetId="1">Assumptions!cc</definedName>
    <definedName name="cc" localSheetId="5">Costs!cc</definedName>
    <definedName name="cc" localSheetId="11">Indicators!cc</definedName>
    <definedName name="cc" localSheetId="2">'Land Sales and Purchase'!cc</definedName>
    <definedName name="cc" localSheetId="8">NOPAT!cc</definedName>
    <definedName name="cc" localSheetId="4">Revenue!cc</definedName>
    <definedName name="cc" localSheetId="9">Valuation!cc</definedName>
    <definedName name="cc" localSheetId="6">WC!cc</definedName>
    <definedName name="cc">[0]!cc</definedName>
    <definedName name="Chile">[11]Control!$B$168</definedName>
    <definedName name="Choices_Wrapper" localSheetId="1">Assumptions!Choices_Wrapper</definedName>
    <definedName name="Choices_Wrapper" localSheetId="5">Costs!Choices_Wrapper</definedName>
    <definedName name="Choices_Wrapper" localSheetId="11">Indicators!Choices_Wrapper</definedName>
    <definedName name="Choices_Wrapper" localSheetId="2">'Land Sales and Purchase'!Choices_Wrapper</definedName>
    <definedName name="Choices_Wrapper" localSheetId="8">NOPAT!Choices_Wrapper</definedName>
    <definedName name="Choices_Wrapper" localSheetId="4">Revenue!Choices_Wrapper</definedName>
    <definedName name="Choices_Wrapper" localSheetId="9">Valuation!Choices_Wrapper</definedName>
    <definedName name="Choices_Wrapper" localSheetId="6">WC!Choices_Wrapper</definedName>
    <definedName name="Choices_Wrapper">[0]!Choices_Wrapper</definedName>
    <definedName name="circ">#REF!</definedName>
    <definedName name="ClosePrint" localSheetId="1">Assumptions!ClosePrint</definedName>
    <definedName name="ClosePrint" localSheetId="5">Costs!ClosePrint</definedName>
    <definedName name="ClosePrint" localSheetId="11">Indicators!ClosePrint</definedName>
    <definedName name="ClosePrint" localSheetId="2">'Land Sales and Purchase'!ClosePrint</definedName>
    <definedName name="ClosePrint" localSheetId="8">NOPAT!ClosePrint</definedName>
    <definedName name="ClosePrint" localSheetId="4">Revenue!ClosePrint</definedName>
    <definedName name="ClosePrint" localSheetId="9">Valuation!ClosePrint</definedName>
    <definedName name="ClosePrint" localSheetId="6">WC!ClosePrint</definedName>
    <definedName name="ClosePrint">[0]!ClosePrint</definedName>
    <definedName name="CODEMP">#REF!</definedName>
    <definedName name="CONT">#REF!</definedName>
    <definedName name="CONTAB">#REF!</definedName>
    <definedName name="_xlnm.Criteria">#REF!</definedName>
    <definedName name="CTA_Chilquinta">0.02</definedName>
    <definedName name="CTA_LDS">0.005</definedName>
    <definedName name="CTA_PPN">0.04</definedName>
    <definedName name="CTA_Prisma">0.04</definedName>
    <definedName name="CTA_RGE">0.04</definedName>
    <definedName name="CTA_Saesa">0.02</definedName>
    <definedName name="CTA_Skawina">0.04</definedName>
    <definedName name="dasdasd" localSheetId="1" hidden="1">{TRUE,TRUE,-1.25,-15.5,604.5,369,FALSE,FALSE,TRUE,TRUE,0,1,83,1,38,4,5,4,TRUE,TRUE,3,TRUE,1,TRUE,75,"Swvu.inputs._.raw._.data.","ACwvu.inputs._.raw._.data.",#N/A,FALSE,FALSE,0.5,0.5,0.5,0.5,2,"&amp;F","&amp;A&amp;RPage &amp;P",FALSE,FALSE,FALSE,FALSE,1,60,#N/A,#N/A,"=R1C61:R53C89","=C1:C5",#N/A,#N/A,FALSE,FALSE,FALSE,1,600,600,FALSE,FALSE,TRUE,TRUE,TRUE}</definedName>
    <definedName name="dasdasd" localSheetId="5" hidden="1">{TRUE,TRUE,-1.25,-15.5,604.5,369,FALSE,FALSE,TRUE,TRUE,0,1,83,1,38,4,5,4,TRUE,TRUE,3,TRUE,1,TRUE,75,"Swvu.inputs._.raw._.data.","ACwvu.inputs._.raw._.data.",#N/A,FALSE,FALSE,0.5,0.5,0.5,0.5,2,"&amp;F","&amp;A&amp;RPage &amp;P",FALSE,FALSE,FALSE,FALSE,1,60,#N/A,#N/A,"=R1C61:R53C89","=C1:C5",#N/A,#N/A,FALSE,FALSE,FALSE,1,600,600,FALSE,FALSE,TRUE,TRUE,TRUE}</definedName>
    <definedName name="dasdasd" localSheetId="11" hidden="1">{TRUE,TRUE,-1.25,-15.5,604.5,369,FALSE,FALSE,TRUE,TRUE,0,1,83,1,38,4,5,4,TRUE,TRUE,3,TRUE,1,TRUE,75,"Swvu.inputs._.raw._.data.","ACwvu.inputs._.raw._.data.",#N/A,FALSE,FALSE,0.5,0.5,0.5,0.5,2,"&amp;F","&amp;A&amp;RPage &amp;P",FALSE,FALSE,FALSE,FALSE,1,60,#N/A,#N/A,"=R1C61:R53C89","=C1:C5",#N/A,#N/A,FALSE,FALSE,FALSE,1,600,600,FALSE,FALSE,TRUE,TRUE,TRUE}</definedName>
    <definedName name="dasdasd" localSheetId="2" hidden="1">{TRUE,TRUE,-1.25,-15.5,604.5,369,FALSE,FALSE,TRUE,TRUE,0,1,83,1,38,4,5,4,TRUE,TRUE,3,TRUE,1,TRUE,75,"Swvu.inputs._.raw._.data.","ACwvu.inputs._.raw._.data.",#N/A,FALSE,FALSE,0.5,0.5,0.5,0.5,2,"&amp;F","&amp;A&amp;RPage &amp;P",FALSE,FALSE,FALSE,FALSE,1,60,#N/A,#N/A,"=R1C61:R53C89","=C1:C5",#N/A,#N/A,FALSE,FALSE,FALSE,1,600,600,FALSE,FALSE,TRUE,TRUE,TRUE}</definedName>
    <definedName name="dasdasd" localSheetId="8" hidden="1">{TRUE,TRUE,-1.25,-15.5,604.5,369,FALSE,FALSE,TRUE,TRUE,0,1,83,1,38,4,5,4,TRUE,TRUE,3,TRUE,1,TRUE,75,"Swvu.inputs._.raw._.data.","ACwvu.inputs._.raw._.data.",#N/A,FALSE,FALSE,0.5,0.5,0.5,0.5,2,"&amp;F","&amp;A&amp;RPage &amp;P",FALSE,FALSE,FALSE,FALSE,1,60,#N/A,#N/A,"=R1C61:R53C89","=C1:C5",#N/A,#N/A,FALSE,FALSE,FALSE,1,600,600,FALSE,FALSE,TRUE,TRUE,TRUE}</definedName>
    <definedName name="dasdasd" localSheetId="4" hidden="1">{TRUE,TRUE,-1.25,-15.5,604.5,369,FALSE,FALSE,TRUE,TRUE,0,1,83,1,38,4,5,4,TRUE,TRUE,3,TRUE,1,TRUE,75,"Swvu.inputs._.raw._.data.","ACwvu.inputs._.raw._.data.",#N/A,FALSE,FALSE,0.5,0.5,0.5,0.5,2,"&amp;F","&amp;A&amp;RPage &amp;P",FALSE,FALSE,FALSE,FALSE,1,60,#N/A,#N/A,"=R1C61:R53C89","=C1:C5",#N/A,#N/A,FALSE,FALSE,FALSE,1,600,600,FALSE,FALSE,TRUE,TRUE,TRUE}</definedName>
    <definedName name="dasdasd" localSheetId="9" hidden="1">{TRUE,TRUE,-1.25,-15.5,604.5,369,FALSE,FALSE,TRUE,TRUE,0,1,83,1,38,4,5,4,TRUE,TRUE,3,TRUE,1,TRUE,75,"Swvu.inputs._.raw._.data.","ACwvu.inputs._.raw._.data.",#N/A,FALSE,FALSE,0.5,0.5,0.5,0.5,2,"&amp;F","&amp;A&amp;RPage &amp;P",FALSE,FALSE,FALSE,FALSE,1,60,#N/A,#N/A,"=R1C61:R53C89","=C1:C5",#N/A,#N/A,FALSE,FALSE,FALSE,1,600,600,FALSE,FALSE,TRUE,TRUE,TRUE}</definedName>
    <definedName name="dasdasd" localSheetId="6" hidden="1">{TRUE,TRUE,-1.25,-15.5,604.5,369,FALSE,FALSE,TRUE,TRUE,0,1,83,1,38,4,5,4,TRUE,TRUE,3,TRUE,1,TRUE,75,"Swvu.inputs._.raw._.data.","ACwvu.inputs._.raw._.data.",#N/A,FALSE,FALSE,0.5,0.5,0.5,0.5,2,"&amp;F","&amp;A&amp;RPage &amp;P",FALSE,FALSE,FALSE,FALSE,1,60,#N/A,#N/A,"=R1C61:R53C89","=C1:C5",#N/A,#N/A,FALSE,FALSE,FALSE,1,600,600,FALSE,FALSE,TRUE,TRUE,TRUE}</definedName>
    <definedName name="dasdasd" hidden="1">{TRUE,TRUE,-1.25,-15.5,604.5,369,FALSE,FALSE,TRUE,TRUE,0,1,83,1,38,4,5,4,TRUE,TRUE,3,TRUE,1,TRUE,75,"Swvu.inputs._.raw._.data.","ACwvu.inputs._.raw._.data.",#N/A,FALSE,FALSE,0.5,0.5,0.5,0.5,2,"&amp;F","&amp;A&amp;RPage &amp;P",FALSE,FALSE,FALSE,FALSE,1,60,#N/A,#N/A,"=R1C61:R53C89","=C1:C5",#N/A,#N/A,FALSE,FALSE,FALSE,1,600,600,FALSE,FALSE,TRUE,TRUE,TRUE}</definedName>
    <definedName name="days">[12]Control!$F$9</definedName>
    <definedName name="dd" localSheetId="1">Assumptions!dd</definedName>
    <definedName name="dd" localSheetId="5">Costs!dd</definedName>
    <definedName name="dd" localSheetId="11">Indicators!dd</definedName>
    <definedName name="dd" localSheetId="2">'Land Sales and Purchase'!dd</definedName>
    <definedName name="dd" localSheetId="8">NOPAT!dd</definedName>
    <definedName name="dd" localSheetId="4">Revenue!dd</definedName>
    <definedName name="dd" localSheetId="9">Valuation!dd</definedName>
    <definedName name="dd" localSheetId="6">WC!dd</definedName>
    <definedName name="dd">[0]!dd</definedName>
    <definedName name="ddddddddddddd" localSheetId="1">Assumptions!ddddddddddddd</definedName>
    <definedName name="ddddddddddddd" localSheetId="5">Costs!ddddddddddddd</definedName>
    <definedName name="ddddddddddddd" localSheetId="11">Indicators!ddddddddddddd</definedName>
    <definedName name="ddddddddddddd" localSheetId="2">'Land Sales and Purchase'!ddddddddddddd</definedName>
    <definedName name="ddddddddddddd" localSheetId="8">NOPAT!ddddddddddddd</definedName>
    <definedName name="ddddddddddddd" localSheetId="4">Revenue!ddddddddddddd</definedName>
    <definedName name="ddddddddddddd" localSheetId="9">Valuation!ddddddddddddd</definedName>
    <definedName name="ddddddddddddd" localSheetId="6">WC!ddddddddddddd</definedName>
    <definedName name="ddddddddddddd">[0]!ddddddddddddd</definedName>
    <definedName name="de" localSheetId="1">Assumptions!de</definedName>
    <definedName name="de" localSheetId="5">Costs!de</definedName>
    <definedName name="de" localSheetId="11">Indicators!de</definedName>
    <definedName name="de" localSheetId="2">'Land Sales and Purchase'!de</definedName>
    <definedName name="de" localSheetId="8">NOPAT!de</definedName>
    <definedName name="de" localSheetId="4">Revenue!de</definedName>
    <definedName name="de" localSheetId="9">Valuation!de</definedName>
    <definedName name="de" localSheetId="6">WC!de</definedName>
    <definedName name="de">[0]!de</definedName>
    <definedName name="Des" localSheetId="1">Assumptions!Des</definedName>
    <definedName name="Des" localSheetId="5">Costs!Des</definedName>
    <definedName name="Des" localSheetId="11">Indicators!Des</definedName>
    <definedName name="Des" localSheetId="2">'Land Sales and Purchase'!Des</definedName>
    <definedName name="Des" localSheetId="8">NOPAT!Des</definedName>
    <definedName name="Des" localSheetId="4">Revenue!Des</definedName>
    <definedName name="Des" localSheetId="9">Valuation!Des</definedName>
    <definedName name="Des" localSheetId="6">WC!Des</definedName>
    <definedName name="Des">[0]!Des</definedName>
    <definedName name="Descrição_Unidades">'[12]Projeto Atuais'!#REF!</definedName>
    <definedName name="DIVIINIC">#REF!</definedName>
    <definedName name="DRE">#REF!</definedName>
    <definedName name="DREMensal">#REF!</definedName>
    <definedName name="ee" localSheetId="1">Assumptions!ee</definedName>
    <definedName name="ee" localSheetId="5">Costs!ee</definedName>
    <definedName name="ee" localSheetId="11">Indicators!ee</definedName>
    <definedName name="ee" localSheetId="2">'Land Sales and Purchase'!ee</definedName>
    <definedName name="ee" localSheetId="8">NOPAT!ee</definedName>
    <definedName name="ee" localSheetId="4">Revenue!ee</definedName>
    <definedName name="ee" localSheetId="9">Valuation!ee</definedName>
    <definedName name="ee" localSheetId="6">WC!ee</definedName>
    <definedName name="ee">[0]!ee</definedName>
    <definedName name="EPS_CAGR_Sensitivity_Analysis_for_Hershey_Foods_Corp.">"table"</definedName>
    <definedName name="ESC">#REF!</definedName>
    <definedName name="Estabelecimento">'[13]Pessoal Produção'!$D$63:$E$74</definedName>
    <definedName name="ExpandOutputs" localSheetId="1">Assumptions!ExpandOutputs</definedName>
    <definedName name="ExpandOutputs" localSheetId="5">Costs!ExpandOutputs</definedName>
    <definedName name="ExpandOutputs" localSheetId="11">Indicators!ExpandOutputs</definedName>
    <definedName name="ExpandOutputs" localSheetId="2">'Land Sales and Purchase'!ExpandOutputs</definedName>
    <definedName name="ExpandOutputs" localSheetId="8">NOPAT!ExpandOutputs</definedName>
    <definedName name="ExpandOutputs" localSheetId="4">Revenue!ExpandOutputs</definedName>
    <definedName name="ExpandOutputs" localSheetId="9">Valuation!ExpandOutputs</definedName>
    <definedName name="ExpandOutputs" localSheetId="6">WC!ExpandOutputs</definedName>
    <definedName name="ExpandOutputs">[0]!ExpandOutputs</definedName>
    <definedName name="ExpandVPeriods" localSheetId="1">Assumptions!ExpandVPeriods</definedName>
    <definedName name="ExpandVPeriods" localSheetId="5">Costs!ExpandVPeriods</definedName>
    <definedName name="ExpandVPeriods" localSheetId="11">Indicators!ExpandVPeriods</definedName>
    <definedName name="ExpandVPeriods" localSheetId="2">'Land Sales and Purchase'!ExpandVPeriods</definedName>
    <definedName name="ExpandVPeriods" localSheetId="8">NOPAT!ExpandVPeriods</definedName>
    <definedName name="ExpandVPeriods" localSheetId="4">Revenue!ExpandVPeriods</definedName>
    <definedName name="ExpandVPeriods" localSheetId="9">Valuation!ExpandVPeriods</definedName>
    <definedName name="ExpandVPeriods" localSheetId="6">WC!ExpandVPeriods</definedName>
    <definedName name="ExpandVPeriods">[0]!ExpandVPeriods</definedName>
    <definedName name="expansao">[8]Control!$G$19</definedName>
    <definedName name="ExportFile" localSheetId="1">Assumptions!ExportFile</definedName>
    <definedName name="ExportFile" localSheetId="5">Costs!ExportFile</definedName>
    <definedName name="ExportFile" localSheetId="11">Indicators!ExportFile</definedName>
    <definedName name="ExportFile" localSheetId="2">'Land Sales and Purchase'!ExportFile</definedName>
    <definedName name="ExportFile" localSheetId="8">NOPAT!ExportFile</definedName>
    <definedName name="ExportFile" localSheetId="4">Revenue!ExportFile</definedName>
    <definedName name="ExportFile" localSheetId="9">Valuation!ExportFile</definedName>
    <definedName name="ExportFile" localSheetId="6">WC!ExportFile</definedName>
    <definedName name="ExportFile">[0]!ExportFile</definedName>
    <definedName name="Exportfile2" localSheetId="1">Assumptions!Exportfile2</definedName>
    <definedName name="Exportfile2" localSheetId="5">Costs!Exportfile2</definedName>
    <definedName name="Exportfile2" localSheetId="11">Indicators!Exportfile2</definedName>
    <definedName name="Exportfile2" localSheetId="2">'Land Sales and Purchase'!Exportfile2</definedName>
    <definedName name="Exportfile2" localSheetId="8">NOPAT!Exportfile2</definedName>
    <definedName name="Exportfile2" localSheetId="4">Revenue!Exportfile2</definedName>
    <definedName name="Exportfile2" localSheetId="9">Valuation!Exportfile2</definedName>
    <definedName name="Exportfile2" localSheetId="6">WC!Exportfile2</definedName>
    <definedName name="Exportfile2">[0]!Exportfile2</definedName>
    <definedName name="faer" localSheetId="1">Assumptions!faer</definedName>
    <definedName name="faer" localSheetId="5">Costs!faer</definedName>
    <definedName name="faer" localSheetId="11">Indicators!faer</definedName>
    <definedName name="faer" localSheetId="2">'Land Sales and Purchase'!faer</definedName>
    <definedName name="faer" localSheetId="8">NOPAT!faer</definedName>
    <definedName name="faer" localSheetId="4">Revenue!faer</definedName>
    <definedName name="faer" localSheetId="9">Valuation!faer</definedName>
    <definedName name="faer" localSheetId="6">WC!faer</definedName>
    <definedName name="faer">[0]!faer</definedName>
    <definedName name="Fazenda_Pamplona">'[12]Projeto Atuais'!#REF!</definedName>
    <definedName name="ff" localSheetId="1">Assumptions!ff</definedName>
    <definedName name="ff" localSheetId="5">Costs!ff</definedName>
    <definedName name="ff" localSheetId="11">Indicators!ff</definedName>
    <definedName name="ff" localSheetId="2">'Land Sales and Purchase'!ff</definedName>
    <definedName name="ff" localSheetId="8">NOPAT!ff</definedName>
    <definedName name="ff" localSheetId="4">Revenue!ff</definedName>
    <definedName name="ff" localSheetId="9">Valuation!ff</definedName>
    <definedName name="ff" localSheetId="6">WC!ff</definedName>
    <definedName name="ff">[0]!ff</definedName>
    <definedName name="fffff" localSheetId="1">Assumptions!fffff</definedName>
    <definedName name="fffff" localSheetId="5">Costs!fffff</definedName>
    <definedName name="fffff" localSheetId="11">Indicators!fffff</definedName>
    <definedName name="fffff" localSheetId="2">'Land Sales and Purchase'!fffff</definedName>
    <definedName name="fffff" localSheetId="8">NOPAT!fffff</definedName>
    <definedName name="fffff" localSheetId="4">Revenue!fffff</definedName>
    <definedName name="fffff" localSheetId="9">Valuation!fffff</definedName>
    <definedName name="fffff" localSheetId="6">WC!fffff</definedName>
    <definedName name="fffff">[0]!fffff</definedName>
    <definedName name="FIM">#REF!</definedName>
    <definedName name="fkjvosd" localSheetId="1">Assumptions!fkjvosd</definedName>
    <definedName name="fkjvosd" localSheetId="5">Costs!fkjvosd</definedName>
    <definedName name="fkjvosd" localSheetId="11">Indicators!fkjvosd</definedName>
    <definedName name="fkjvosd" localSheetId="2">'Land Sales and Purchase'!fkjvosd</definedName>
    <definedName name="fkjvosd" localSheetId="8">NOPAT!fkjvosd</definedName>
    <definedName name="fkjvosd" localSheetId="4">Revenue!fkjvosd</definedName>
    <definedName name="fkjvosd" localSheetId="9">Valuation!fkjvosd</definedName>
    <definedName name="fkjvosd" localSheetId="6">WC!fkjvosd</definedName>
    <definedName name="fkjvosd">[0]!fkjvosd</definedName>
    <definedName name="Fluxo" localSheetId="1">Assumptions!Fluxo</definedName>
    <definedName name="Fluxo" localSheetId="5">Costs!Fluxo</definedName>
    <definedName name="Fluxo" localSheetId="11">Indicators!Fluxo</definedName>
    <definedName name="Fluxo" localSheetId="2">'Land Sales and Purchase'!Fluxo</definedName>
    <definedName name="Fluxo" localSheetId="8">NOPAT!Fluxo</definedName>
    <definedName name="Fluxo" localSheetId="4">Revenue!Fluxo</definedName>
    <definedName name="Fluxo" localSheetId="9">Valuation!Fluxo</definedName>
    <definedName name="Fluxo" localSheetId="6">WC!Fluxo</definedName>
    <definedName name="Fluxo">[0]!Fluxo</definedName>
    <definedName name="FLUXOC">'[14]flu 94'!#REF!</definedName>
    <definedName name="GE">#REF!</definedName>
    <definedName name="GERA">#REF!</definedName>
    <definedName name="gg" localSheetId="1">Assumptions!gg</definedName>
    <definedName name="gg" localSheetId="5">Costs!gg</definedName>
    <definedName name="gg" localSheetId="11">Indicators!gg</definedName>
    <definedName name="gg" localSheetId="2">'Land Sales and Purchase'!gg</definedName>
    <definedName name="gg" localSheetId="8">NOPAT!gg</definedName>
    <definedName name="gg" localSheetId="4">Revenue!gg</definedName>
    <definedName name="gg" localSheetId="9">Valuation!gg</definedName>
    <definedName name="gg" localSheetId="6">WC!gg</definedName>
    <definedName name="gg">[0]!gg</definedName>
    <definedName name="ggg" localSheetId="1">Assumptions!ggg</definedName>
    <definedName name="ggg" localSheetId="5">Costs!ggg</definedName>
    <definedName name="ggg" localSheetId="11">Indicators!ggg</definedName>
    <definedName name="ggg" localSheetId="2">'Land Sales and Purchase'!ggg</definedName>
    <definedName name="ggg" localSheetId="8">NOPAT!ggg</definedName>
    <definedName name="ggg" localSheetId="4">Revenue!ggg</definedName>
    <definedName name="ggg" localSheetId="9">Valuation!ggg</definedName>
    <definedName name="ggg" localSheetId="6">WC!ggg</definedName>
    <definedName name="ggg">[0]!ggg</definedName>
    <definedName name="glp">[8]Control!$G$36</definedName>
    <definedName name="GO">#REF!</definedName>
    <definedName name="gpt">0.029166668354</definedName>
    <definedName name="GRA">#REF!</definedName>
    <definedName name="grupo44" localSheetId="1">Assumptions!grupo44</definedName>
    <definedName name="grupo44" localSheetId="5">Costs!grupo44</definedName>
    <definedName name="grupo44" localSheetId="11">Indicators!grupo44</definedName>
    <definedName name="grupo44" localSheetId="2">'Land Sales and Purchase'!grupo44</definedName>
    <definedName name="grupo44" localSheetId="8">NOPAT!grupo44</definedName>
    <definedName name="grupo44" localSheetId="4">Revenue!grupo44</definedName>
    <definedName name="grupo44" localSheetId="9">Valuation!grupo44</definedName>
    <definedName name="grupo44" localSheetId="6">WC!grupo44</definedName>
    <definedName name="grupo44">[0]!grupo44</definedName>
    <definedName name="Grupo44_Click" localSheetId="1">Assumptions!Grupo44_Click</definedName>
    <definedName name="Grupo44_Click" localSheetId="5">Costs!Grupo44_Click</definedName>
    <definedName name="Grupo44_Click" localSheetId="11">Indicators!Grupo44_Click</definedName>
    <definedName name="Grupo44_Click" localSheetId="2">'Land Sales and Purchase'!Grupo44_Click</definedName>
    <definedName name="Grupo44_Click" localSheetId="8">NOPAT!Grupo44_Click</definedName>
    <definedName name="Grupo44_Click" localSheetId="4">Revenue!Grupo44_Click</definedName>
    <definedName name="Grupo44_Click" localSheetId="9">Valuation!Grupo44_Click</definedName>
    <definedName name="Grupo44_Click" localSheetId="6">WC!Grupo44_Click</definedName>
    <definedName name="Grupo44_Click">[0]!Grupo44_Click</definedName>
    <definedName name="hh" localSheetId="1">Assumptions!hh</definedName>
    <definedName name="hh" localSheetId="5">Costs!hh</definedName>
    <definedName name="hh" localSheetId="11">Indicators!hh</definedName>
    <definedName name="hh" localSheetId="2">'Land Sales and Purchase'!hh</definedName>
    <definedName name="hh" localSheetId="8">NOPAT!hh</definedName>
    <definedName name="hh" localSheetId="4">Revenue!hh</definedName>
    <definedName name="hh" localSheetId="9">Valuation!hh</definedName>
    <definedName name="hh" localSheetId="6">WC!hh</definedName>
    <definedName name="hh">[0]!hh</definedName>
    <definedName name="hn.ModelType">"DEAL"</definedName>
    <definedName name="IGPM">'[7]Ind Econ e Financ'!#REF!</definedName>
    <definedName name="ii" localSheetId="1">Assumptions!ii</definedName>
    <definedName name="ii" localSheetId="5">Costs!ii</definedName>
    <definedName name="ii" localSheetId="11">Indicators!ii</definedName>
    <definedName name="ii" localSheetId="2">'Land Sales and Purchase'!ii</definedName>
    <definedName name="ii" localSheetId="8">NOPAT!ii</definedName>
    <definedName name="ii" localSheetId="4">Revenue!ii</definedName>
    <definedName name="ii" localSheetId="9">Valuation!ii</definedName>
    <definedName name="ii" localSheetId="6">WC!ii</definedName>
    <definedName name="ii">[0]!ii</definedName>
    <definedName name="IMP">#REF!</definedName>
    <definedName name="ImportFile" localSheetId="1">Assumptions!ImportFile</definedName>
    <definedName name="ImportFile" localSheetId="5">Costs!ImportFile</definedName>
    <definedName name="ImportFile" localSheetId="11">Indicators!ImportFile</definedName>
    <definedName name="ImportFile" localSheetId="2">'Land Sales and Purchase'!ImportFile</definedName>
    <definedName name="ImportFile" localSheetId="8">NOPAT!ImportFile</definedName>
    <definedName name="ImportFile" localSheetId="4">Revenue!ImportFile</definedName>
    <definedName name="ImportFile" localSheetId="9">Valuation!ImportFile</definedName>
    <definedName name="ImportFile" localSheetId="6">WC!ImportFile</definedName>
    <definedName name="ImportFile">[0]!ImportFile</definedName>
    <definedName name="importfile2" localSheetId="1">Assumptions!importfile2</definedName>
    <definedName name="importfile2" localSheetId="5">Costs!importfile2</definedName>
    <definedName name="importfile2" localSheetId="11">Indicators!importfile2</definedName>
    <definedName name="importfile2" localSheetId="2">'Land Sales and Purchase'!importfile2</definedName>
    <definedName name="importfile2" localSheetId="8">NOPAT!importfile2</definedName>
    <definedName name="importfile2" localSheetId="4">Revenue!importfile2</definedName>
    <definedName name="importfile2" localSheetId="9">Valuation!importfile2</definedName>
    <definedName name="importfile2" localSheetId="6">WC!importfile2</definedName>
    <definedName name="importfile2">[0]!importfile2</definedName>
    <definedName name="importfile3" localSheetId="1">Assumptions!importfile3</definedName>
    <definedName name="importfile3" localSheetId="5">Costs!importfile3</definedName>
    <definedName name="importfile3" localSheetId="11">Indicators!importfile3</definedName>
    <definedName name="importfile3" localSheetId="2">'Land Sales and Purchase'!importfile3</definedName>
    <definedName name="importfile3" localSheetId="8">NOPAT!importfile3</definedName>
    <definedName name="importfile3" localSheetId="4">Revenue!importfile3</definedName>
    <definedName name="importfile3" localSheetId="9">Valuation!importfile3</definedName>
    <definedName name="importfile3" localSheetId="6">WC!importfile3</definedName>
    <definedName name="importfile3">[0]!importfile3</definedName>
    <definedName name="Ind.Macr">#REF!</definedName>
    <definedName name="IndEc">'[15]Ind Financeiros'!#REF!</definedName>
    <definedName name="IndEcF">'[15]Ind Financeiros'!#REF!</definedName>
    <definedName name="IndEcO">'[15]Ind Financeiros'!#REF!</definedName>
    <definedName name="ipo">[10]Control!$G$44</definedName>
    <definedName name="IQ_ADDIN" hidden="1">"AUTO"</definedName>
    <definedName name="IQ_CH" hidden="1">110000</definedName>
    <definedName name="IQ_CQ" hidden="1">5000</definedName>
    <definedName name="IQ_CY" hidden="1">10000</definedName>
    <definedName name="IQ_DAILY" hidden="1">500000</definedName>
    <definedName name="IQ_DNTM" hidden="1">700000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MTD" hidden="1">800000</definedName>
    <definedName name="IQ_NAMES_REVISION_DATE_" hidden="1">41015.7952083333</definedName>
    <definedName name="IQ_NTM" hidden="1">6000</definedName>
    <definedName name="IQ_QTD" hidden="1">750000</definedName>
    <definedName name="IQ_TODAY" hidden="1">0</definedName>
    <definedName name="IQ_WEEK" hidden="1">50000</definedName>
    <definedName name="IQ_YTD" hidden="1">3000</definedName>
    <definedName name="IQ_YTDMONTH" hidden="1">130000</definedName>
    <definedName name="IRCSDiferido">#REF!</definedName>
    <definedName name="jj" localSheetId="1">Assumptions!jj</definedName>
    <definedName name="jj" localSheetId="5">Costs!jj</definedName>
    <definedName name="jj" localSheetId="11">Indicators!jj</definedName>
    <definedName name="jj" localSheetId="2">'Land Sales and Purchase'!jj</definedName>
    <definedName name="jj" localSheetId="8">NOPAT!jj</definedName>
    <definedName name="jj" localSheetId="4">Revenue!jj</definedName>
    <definedName name="jj" localSheetId="9">Valuation!jj</definedName>
    <definedName name="jj" localSheetId="6">WC!jj</definedName>
    <definedName name="jj">[0]!jj</definedName>
    <definedName name="kk" localSheetId="1">Assumptions!kk</definedName>
    <definedName name="kk" localSheetId="5">Costs!kk</definedName>
    <definedName name="kk" localSheetId="11">Indicators!kk</definedName>
    <definedName name="kk" localSheetId="2">'Land Sales and Purchase'!kk</definedName>
    <definedName name="kk" localSheetId="8">NOPAT!kk</definedName>
    <definedName name="kk" localSheetId="4">Revenue!kk</definedName>
    <definedName name="kk" localSheetId="9">Valuation!kk</definedName>
    <definedName name="kk" localSheetId="6">WC!kk</definedName>
    <definedName name="kk">[0]!kk</definedName>
    <definedName name="LastQry">2</definedName>
    <definedName name="LastSource">"Oracle 7"</definedName>
    <definedName name="Libra_Peso">'[16]Ind Econ e Financ'!$D$14</definedName>
    <definedName name="ma" localSheetId="1">Assumptions!ma</definedName>
    <definedName name="ma" localSheetId="5">Costs!ma</definedName>
    <definedName name="ma" localSheetId="11">Indicators!ma</definedName>
    <definedName name="ma" localSheetId="2">'Land Sales and Purchase'!ma</definedName>
    <definedName name="ma" localSheetId="8">NOPAT!ma</definedName>
    <definedName name="ma" localSheetId="4">Revenue!ma</definedName>
    <definedName name="ma" localSheetId="9">Valuation!ma</definedName>
    <definedName name="ma" localSheetId="6">WC!ma</definedName>
    <definedName name="ma">[0]!ma</definedName>
    <definedName name="Macro" localSheetId="1">Assumptions!Macro</definedName>
    <definedName name="Macro" localSheetId="5">Costs!Macro</definedName>
    <definedName name="Macro" localSheetId="11">Indicators!Macro</definedName>
    <definedName name="Macro" localSheetId="2">'Land Sales and Purchase'!Macro</definedName>
    <definedName name="Macro" localSheetId="8">NOPAT!Macro</definedName>
    <definedName name="Macro" localSheetId="4">Revenue!Macro</definedName>
    <definedName name="Macro" localSheetId="9">Valuation!Macro</definedName>
    <definedName name="Macro" localSheetId="6">WC!Macro</definedName>
    <definedName name="Macro">[0]!Macro</definedName>
    <definedName name="Macroeconomics" localSheetId="1">Assumptions!Macroeconomics</definedName>
    <definedName name="Macroeconomics" localSheetId="5">Costs!Macroeconomics</definedName>
    <definedName name="Macroeconomics" localSheetId="11">Indicators!Macroeconomics</definedName>
    <definedName name="Macroeconomics" localSheetId="2">'Land Sales and Purchase'!Macroeconomics</definedName>
    <definedName name="Macroeconomics" localSheetId="8">NOPAT!Macroeconomics</definedName>
    <definedName name="Macroeconomics" localSheetId="4">Revenue!Macroeconomics</definedName>
    <definedName name="Macroeconomics" localSheetId="9">Valuation!Macroeconomics</definedName>
    <definedName name="Macroeconomics" localSheetId="6">WC!Macroeconomics</definedName>
    <definedName name="Macroeconomics">[0]!Macroeconomics</definedName>
    <definedName name="MAPA1">#REF!</definedName>
    <definedName name="MBAS">#REF!</definedName>
    <definedName name="mc03g.reqarray2" localSheetId="1">{"Price","WIT","TS13","D","11/13/96","11/13/96","H"}</definedName>
    <definedName name="mc03g.reqarray2" localSheetId="5">{"Price","WIT","TS13","D","11/13/96","11/13/96","H"}</definedName>
    <definedName name="mc03g.reqarray2" localSheetId="11">{"Price","WIT","TS13","D","11/13/96","11/13/96","H"}</definedName>
    <definedName name="mc03g.reqarray2" localSheetId="2">{"Price","WIT","TS13","D","11/13/96","11/13/96","H"}</definedName>
    <definedName name="mc03g.reqarray2" localSheetId="8">{"Price","WIT","TS13","D","11/13/96","11/13/96","H"}</definedName>
    <definedName name="mc03g.reqarray2" localSheetId="4">{"Price","WIT","TS13","D","11/13/96","11/13/96","H"}</definedName>
    <definedName name="mc03g.reqarray2" localSheetId="9">{"Price","WIT","TS13","D","11/13/96","11/13/96","H"}</definedName>
    <definedName name="mc03g.reqarray2" localSheetId="6">{"Price","WIT","TS13","D","11/13/96","11/13/96","H"}</definedName>
    <definedName name="mc03g.reqarray2">{"Price","WIT","TS13","D","11/13/96","11/13/96","H"}</definedName>
    <definedName name="mcs03g.ReqArray" localSheetId="1">{"IBESD","WWP","I22","N","0","0","H"}</definedName>
    <definedName name="mcs03g.ReqArray" localSheetId="5">{"IBESD","WWP","I22","N","0","0","H"}</definedName>
    <definedName name="mcs03g.ReqArray" localSheetId="11">{"IBESD","WWP","I22","N","0","0","H"}</definedName>
    <definedName name="mcs03g.ReqArray" localSheetId="2">{"IBESD","WWP","I22","N","0","0","H"}</definedName>
    <definedName name="mcs03g.ReqArray" localSheetId="8">{"IBESD","WWP","I22","N","0","0","H"}</definedName>
    <definedName name="mcs03g.ReqArray" localSheetId="4">{"IBESD","WWP","I22","N","0","0","H"}</definedName>
    <definedName name="mcs03g.ReqArray" localSheetId="9">{"IBESD","WWP","I22","N","0","0","H"}</definedName>
    <definedName name="mcs03g.ReqArray" localSheetId="6">{"IBESD","WWP","I22","N","0","0","H"}</definedName>
    <definedName name="mcs03g.ReqArray">{"IBESD","WWP","I22","N","0","0","H"}</definedName>
    <definedName name="mcs03g.ReqArray2" localSheetId="1">{"Price","ICTG","TS131","D","0","0","H"}</definedName>
    <definedName name="mcs03g.ReqArray2" localSheetId="5">{"Price","ICTG","TS131","D","0","0","H"}</definedName>
    <definedName name="mcs03g.ReqArray2" localSheetId="11">{"Price","ICTG","TS131","D","0","0","H"}</definedName>
    <definedName name="mcs03g.ReqArray2" localSheetId="2">{"Price","ICTG","TS131","D","0","0","H"}</definedName>
    <definedName name="mcs03g.ReqArray2" localSheetId="8">{"Price","ICTG","TS131","D","0","0","H"}</definedName>
    <definedName name="mcs03g.ReqArray2" localSheetId="4">{"Price","ICTG","TS131","D","0","0","H"}</definedName>
    <definedName name="mcs03g.ReqArray2" localSheetId="9">{"Price","ICTG","TS131","D","0","0","H"}</definedName>
    <definedName name="mcs03g.ReqArray2" localSheetId="6">{"Price","ICTG","TS131","D","0","0","H"}</definedName>
    <definedName name="mcs03g.ReqArray2">{"Price","ICTG","TS131","D","0","0","H"}</definedName>
    <definedName name="mcs3g.reqarray2" localSheetId="1">{"Price","WIT","TS13","D","11/13/96","11/13/96","H"}</definedName>
    <definedName name="mcs3g.reqarray2" localSheetId="5">{"Price","WIT","TS13","D","11/13/96","11/13/96","H"}</definedName>
    <definedName name="mcs3g.reqarray2" localSheetId="11">{"Price","WIT","TS13","D","11/13/96","11/13/96","H"}</definedName>
    <definedName name="mcs3g.reqarray2" localSheetId="2">{"Price","WIT","TS13","D","11/13/96","11/13/96","H"}</definedName>
    <definedName name="mcs3g.reqarray2" localSheetId="8">{"Price","WIT","TS13","D","11/13/96","11/13/96","H"}</definedName>
    <definedName name="mcs3g.reqarray2" localSheetId="4">{"Price","WIT","TS13","D","11/13/96","11/13/96","H"}</definedName>
    <definedName name="mcs3g.reqarray2" localSheetId="9">{"Price","WIT","TS13","D","11/13/96","11/13/96","H"}</definedName>
    <definedName name="mcs3g.reqarray2" localSheetId="6">{"Price","WIT","TS13","D","11/13/96","11/13/96","H"}</definedName>
    <definedName name="mcs3g.reqarray2">{"Price","WIT","TS13","D","11/13/96","11/13/96","H"}</definedName>
    <definedName name="me">"Button 5"</definedName>
    <definedName name="MENU">#REF!</definedName>
    <definedName name="midyr" localSheetId="11">[8]DCF_Atuais!#REF!</definedName>
    <definedName name="midyr" localSheetId="9">[8]DCF_Atuais!#REF!</definedName>
    <definedName name="midyr">[10]DCF_Atuais!#REF!</definedName>
    <definedName name="minimo">[10]Control!$G$31</definedName>
    <definedName name="Module1.Group8_Click" localSheetId="1">Assumptions!Module1.Group8_Click</definedName>
    <definedName name="Module1.Group8_Click" localSheetId="5">Costs!Module1.Group8_Click</definedName>
    <definedName name="Module1.Group8_Click" localSheetId="11">Indicators!Module1.Group8_Click</definedName>
    <definedName name="Module1.Group8_Click" localSheetId="2">'Land Sales and Purchase'!Module1.Group8_Click</definedName>
    <definedName name="Module1.Group8_Click" localSheetId="8">NOPAT!Module1.Group8_Click</definedName>
    <definedName name="Module1.Group8_Click" localSheetId="4">Revenue!Module1.Group8_Click</definedName>
    <definedName name="Module1.Group8_Click" localSheetId="9">Valuation!Module1.Group8_Click</definedName>
    <definedName name="Module1.Group8_Click" localSheetId="6">WC!Module1.Group8_Click</definedName>
    <definedName name="Module1.Group8_Click">[0]!Module1.Group8_Click</definedName>
    <definedName name="Module1.OK" localSheetId="1">Assumptions!Module1.OK</definedName>
    <definedName name="Module1.OK" localSheetId="5">Costs!Module1.OK</definedName>
    <definedName name="Module1.OK" localSheetId="11">Indicators!Module1.OK</definedName>
    <definedName name="Module1.OK" localSheetId="2">'Land Sales and Purchase'!Module1.OK</definedName>
    <definedName name="Module1.OK" localSheetId="8">NOPAT!Module1.OK</definedName>
    <definedName name="Module1.OK" localSheetId="4">Revenue!Module1.OK</definedName>
    <definedName name="Module1.OK" localSheetId="9">Valuation!Module1.OK</definedName>
    <definedName name="Module1.OK" localSheetId="6">WC!Module1.OK</definedName>
    <definedName name="Module1.OK">[0]!Module1.OK</definedName>
    <definedName name="name2" localSheetId="1">Assumptions!name2</definedName>
    <definedName name="name2" localSheetId="5">Costs!name2</definedName>
    <definedName name="name2" localSheetId="11">Indicators!name2</definedName>
    <definedName name="name2" localSheetId="2">'Land Sales and Purchase'!name2</definedName>
    <definedName name="name2" localSheetId="8">NOPAT!name2</definedName>
    <definedName name="name2" localSheetId="4">Revenue!name2</definedName>
    <definedName name="name2" localSheetId="9">Valuation!name2</definedName>
    <definedName name="name2" localSheetId="6">WC!name2</definedName>
    <definedName name="name2">[0]!name2</definedName>
    <definedName name="name3" localSheetId="1">Assumptions!name3</definedName>
    <definedName name="name3" localSheetId="5">Costs!name3</definedName>
    <definedName name="name3" localSheetId="11">Indicators!name3</definedName>
    <definedName name="name3" localSheetId="2">'Land Sales and Purchase'!name3</definedName>
    <definedName name="name3" localSheetId="8">NOPAT!name3</definedName>
    <definedName name="name3" localSheetId="4">Revenue!name3</definedName>
    <definedName name="name3" localSheetId="9">Valuation!name3</definedName>
    <definedName name="name3" localSheetId="6">WC!name3</definedName>
    <definedName name="name3">[0]!name3</definedName>
    <definedName name="NewName" localSheetId="1">Assumptions!NewName</definedName>
    <definedName name="NewName" localSheetId="5">Costs!NewName</definedName>
    <definedName name="NewName" localSheetId="11">Indicators!NewName</definedName>
    <definedName name="NewName" localSheetId="2">'Land Sales and Purchase'!NewName</definedName>
    <definedName name="NewName" localSheetId="8">NOPAT!NewName</definedName>
    <definedName name="NewName" localSheetId="4">Revenue!NewName</definedName>
    <definedName name="NewName" localSheetId="9">Valuation!NewName</definedName>
    <definedName name="NewName" localSheetId="6">WC!NewName</definedName>
    <definedName name="NewName">[0]!NewName</definedName>
    <definedName name="nominal">[10]Control!$G$41</definedName>
    <definedName name="notpay">[11]Control!$F$41</definedName>
    <definedName name="NvsEndTime">37210.4481587963</definedName>
    <definedName name="OAdministrativo">[17]Orçamento!#REF!</definedName>
    <definedName name="OContabilidade">#REF!</definedName>
    <definedName name="OCorporativo">[17]Orçamento!#REF!</definedName>
    <definedName name="ODiretoria">[17]Orçamento!#REF!</definedName>
    <definedName name="OFinanceiro">[17]Orçamento!#REF!</definedName>
    <definedName name="OInformática">[17]Orçamento!#REF!</definedName>
    <definedName name="OOutro">[17]Orçamento!#REF!</definedName>
    <definedName name="ORH">[17]Orçamento!#REF!</definedName>
    <definedName name="OSuprimentos">[17]Orçamento!#REF!</definedName>
    <definedName name="perpetgrrate">[18]Control!$F$20</definedName>
    <definedName name="piaui">[8]Control!$G$25</definedName>
    <definedName name="PLAN">#REF!</definedName>
    <definedName name="PLIN">#REF!</definedName>
    <definedName name="plpdfoepa" localSheetId="1" hidden="1">{TRUE,TRUE,-1.25,-15.5,604.5,369,FALSE,FALSE,TRUE,TRUE,0,1,83,1,38,4,5,4,TRUE,TRUE,3,TRUE,1,TRUE,75,"Swvu.inputs._.raw._.data.","ACwvu.inputs._.raw._.data.",#N/A,FALSE,FALSE,0.5,0.5,0.5,0.5,2,"&amp;F","&amp;A&amp;RPage &amp;P",FALSE,FALSE,FALSE,FALSE,1,60,#N/A,#N/A,"=R1C61:R53C89","=C1:C5",#N/A,#N/A,FALSE,FALSE,FALSE,1,600,600,FALSE,FALSE,TRUE,TRUE,TRUE}</definedName>
    <definedName name="plpdfoepa" localSheetId="5" hidden="1">{TRUE,TRUE,-1.25,-15.5,604.5,369,FALSE,FALSE,TRUE,TRUE,0,1,83,1,38,4,5,4,TRUE,TRUE,3,TRUE,1,TRUE,75,"Swvu.inputs._.raw._.data.","ACwvu.inputs._.raw._.data.",#N/A,FALSE,FALSE,0.5,0.5,0.5,0.5,2,"&amp;F","&amp;A&amp;RPage &amp;P",FALSE,FALSE,FALSE,FALSE,1,60,#N/A,#N/A,"=R1C61:R53C89","=C1:C5",#N/A,#N/A,FALSE,FALSE,FALSE,1,600,600,FALSE,FALSE,TRUE,TRUE,TRUE}</definedName>
    <definedName name="plpdfoepa" localSheetId="11" hidden="1">{TRUE,TRUE,-1.25,-15.5,604.5,369,FALSE,FALSE,TRUE,TRUE,0,1,83,1,38,4,5,4,TRUE,TRUE,3,TRUE,1,TRUE,75,"Swvu.inputs._.raw._.data.","ACwvu.inputs._.raw._.data.",#N/A,FALSE,FALSE,0.5,0.5,0.5,0.5,2,"&amp;F","&amp;A&amp;RPage &amp;P",FALSE,FALSE,FALSE,FALSE,1,60,#N/A,#N/A,"=R1C61:R53C89","=C1:C5",#N/A,#N/A,FALSE,FALSE,FALSE,1,600,600,FALSE,FALSE,TRUE,TRUE,TRUE}</definedName>
    <definedName name="plpdfoepa" localSheetId="2" hidden="1">{TRUE,TRUE,-1.25,-15.5,604.5,369,FALSE,FALSE,TRUE,TRUE,0,1,83,1,38,4,5,4,TRUE,TRUE,3,TRUE,1,TRUE,75,"Swvu.inputs._.raw._.data.","ACwvu.inputs._.raw._.data.",#N/A,FALSE,FALSE,0.5,0.5,0.5,0.5,2,"&amp;F","&amp;A&amp;RPage &amp;P",FALSE,FALSE,FALSE,FALSE,1,60,#N/A,#N/A,"=R1C61:R53C89","=C1:C5",#N/A,#N/A,FALSE,FALSE,FALSE,1,600,600,FALSE,FALSE,TRUE,TRUE,TRUE}</definedName>
    <definedName name="plpdfoepa" localSheetId="8" hidden="1">{TRUE,TRUE,-1.25,-15.5,604.5,369,FALSE,FALSE,TRUE,TRUE,0,1,83,1,38,4,5,4,TRUE,TRUE,3,TRUE,1,TRUE,75,"Swvu.inputs._.raw._.data.","ACwvu.inputs._.raw._.data.",#N/A,FALSE,FALSE,0.5,0.5,0.5,0.5,2,"&amp;F","&amp;A&amp;RPage &amp;P",FALSE,FALSE,FALSE,FALSE,1,60,#N/A,#N/A,"=R1C61:R53C89","=C1:C5",#N/A,#N/A,FALSE,FALSE,FALSE,1,600,600,FALSE,FALSE,TRUE,TRUE,TRUE}</definedName>
    <definedName name="plpdfoepa" localSheetId="4" hidden="1">{TRUE,TRUE,-1.25,-15.5,604.5,369,FALSE,FALSE,TRUE,TRUE,0,1,83,1,38,4,5,4,TRUE,TRUE,3,TRUE,1,TRUE,75,"Swvu.inputs._.raw._.data.","ACwvu.inputs._.raw._.data.",#N/A,FALSE,FALSE,0.5,0.5,0.5,0.5,2,"&amp;F","&amp;A&amp;RPage &amp;P",FALSE,FALSE,FALSE,FALSE,1,60,#N/A,#N/A,"=R1C61:R53C89","=C1:C5",#N/A,#N/A,FALSE,FALSE,FALSE,1,600,600,FALSE,FALSE,TRUE,TRUE,TRUE}</definedName>
    <definedName name="plpdfoepa" localSheetId="9" hidden="1">{TRUE,TRUE,-1.25,-15.5,604.5,369,FALSE,FALSE,TRUE,TRUE,0,1,83,1,38,4,5,4,TRUE,TRUE,3,TRUE,1,TRUE,75,"Swvu.inputs._.raw._.data.","ACwvu.inputs._.raw._.data.",#N/A,FALSE,FALSE,0.5,0.5,0.5,0.5,2,"&amp;F","&amp;A&amp;RPage &amp;P",FALSE,FALSE,FALSE,FALSE,1,60,#N/A,#N/A,"=R1C61:R53C89","=C1:C5",#N/A,#N/A,FALSE,FALSE,FALSE,1,600,600,FALSE,FALSE,TRUE,TRUE,TRUE}</definedName>
    <definedName name="plpdfoepa" localSheetId="6" hidden="1">{TRUE,TRUE,-1.25,-15.5,604.5,369,FALSE,FALSE,TRUE,TRUE,0,1,83,1,38,4,5,4,TRUE,TRUE,3,TRUE,1,TRUE,75,"Swvu.inputs._.raw._.data.","ACwvu.inputs._.raw._.data.",#N/A,FALSE,FALSE,0.5,0.5,0.5,0.5,2,"&amp;F","&amp;A&amp;RPage &amp;P",FALSE,FALSE,FALSE,FALSE,1,60,#N/A,#N/A,"=R1C61:R53C89","=C1:C5",#N/A,#N/A,FALSE,FALSE,FALSE,1,600,600,FALSE,FALSE,TRUE,TRUE,TRUE}</definedName>
    <definedName name="plpdfoepa" hidden="1">{TRUE,TRUE,-1.25,-15.5,604.5,369,FALSE,FALSE,TRUE,TRUE,0,1,83,1,38,4,5,4,TRUE,TRUE,3,TRUE,1,TRUE,75,"Swvu.inputs._.raw._.data.","ACwvu.inputs._.raw._.data.",#N/A,FALSE,FALSE,0.5,0.5,0.5,0.5,2,"&amp;F","&amp;A&amp;RPage &amp;P",FALSE,FALSE,FALSE,FALSE,1,60,#N/A,#N/A,"=R1C61:R53C89","=C1:C5",#N/A,#N/A,FALSE,FALSE,FALSE,1,600,600,FALSE,FALSE,TRUE,TRUE,TRUE}</definedName>
    <definedName name="ppe_print">#REF!</definedName>
    <definedName name="ProImportExport.ImportFile" localSheetId="1">Assumptions!ProImportExport.ImportFile</definedName>
    <definedName name="ProImportExport.ImportFile" localSheetId="5">Costs!ProImportExport.ImportFile</definedName>
    <definedName name="ProImportExport.ImportFile" localSheetId="11">Indicators!ProImportExport.ImportFile</definedName>
    <definedName name="ProImportExport.ImportFile" localSheetId="2">'Land Sales and Purchase'!ProImportExport.ImportFile</definedName>
    <definedName name="ProImportExport.ImportFile" localSheetId="8">NOPAT!ProImportExport.ImportFile</definedName>
    <definedName name="ProImportExport.ImportFile" localSheetId="4">Revenue!ProImportExport.ImportFile</definedName>
    <definedName name="ProImportExport.ImportFile" localSheetId="9">Valuation!ProImportExport.ImportFile</definedName>
    <definedName name="ProImportExport.ImportFile" localSheetId="6">WC!ProImportExport.ImportFile</definedName>
    <definedName name="ProImportExport.ImportFile">[0]!ProImportExport.ImportFile</definedName>
    <definedName name="ProImportExport.SaveNewFile" localSheetId="1">Assumptions!ProImportExport.SaveNewFile</definedName>
    <definedName name="ProImportExport.SaveNewFile" localSheetId="5">Costs!ProImportExport.SaveNewFile</definedName>
    <definedName name="ProImportExport.SaveNewFile" localSheetId="11">Indicators!ProImportExport.SaveNewFile</definedName>
    <definedName name="ProImportExport.SaveNewFile" localSheetId="2">'Land Sales and Purchase'!ProImportExport.SaveNewFile</definedName>
    <definedName name="ProImportExport.SaveNewFile" localSheetId="8">NOPAT!ProImportExport.SaveNewFile</definedName>
    <definedName name="ProImportExport.SaveNewFile" localSheetId="4">Revenue!ProImportExport.SaveNewFile</definedName>
    <definedName name="ProImportExport.SaveNewFile" localSheetId="9">Valuation!ProImportExport.SaveNewFile</definedName>
    <definedName name="ProImportExport.SaveNewFile" localSheetId="6">WC!ProImportExport.SaveNewFile</definedName>
    <definedName name="ProImportExport.SaveNewFile">[0]!ProImportExport.SaveNewFile</definedName>
    <definedName name="ProjectName" localSheetId="1">{"Client Name or Project Name"}</definedName>
    <definedName name="ProjectName" localSheetId="5">{"Client Name or Project Name"}</definedName>
    <definedName name="ProjectName" localSheetId="11">{"Client Name or Project Name"}</definedName>
    <definedName name="ProjectName" localSheetId="7">{"Client Name or Project Name"}</definedName>
    <definedName name="ProjectName" localSheetId="2">{"Client Name or Project Name"}</definedName>
    <definedName name="ProjectName" localSheetId="3">{"Client Name or Project Name"}</definedName>
    <definedName name="ProjectName" localSheetId="4">{"Client Name or Project Name"}</definedName>
    <definedName name="ProjectName" localSheetId="6">{"Client Name or Project Name"}</definedName>
    <definedName name="ProjectName">{"Client Name or Project Name"}</definedName>
    <definedName name="PULA">#REF!</definedName>
    <definedName name="qexlQryInfo" localSheetId="1">{" ","","","","",""}</definedName>
    <definedName name="qexlQryInfo" localSheetId="5">{" ","","","","",""}</definedName>
    <definedName name="qexlQryInfo" localSheetId="11">{" ","","","","",""}</definedName>
    <definedName name="qexlQryInfo" localSheetId="2">{" ","","","","",""}</definedName>
    <definedName name="qexlQryInfo" localSheetId="8">{" ","","","","",""}</definedName>
    <definedName name="qexlQryInfo" localSheetId="4">{" ","","","","",""}</definedName>
    <definedName name="qexlQryInfo" localSheetId="9">{" ","","","","",""}</definedName>
    <definedName name="qexlQryInfo" localSheetId="6">{" ","","","","",""}</definedName>
    <definedName name="qexlQryInfo">{" ","","","","",""}</definedName>
    <definedName name="RAdministrativo">#REF!</definedName>
    <definedName name="RContabilidade">#REF!</definedName>
    <definedName name="RCorporativo">#REF!</definedName>
    <definedName name="RDiretoria">#REF!</definedName>
    <definedName name="REAIS">'[19]Consolidado em R$ Ceval'!#REF!</definedName>
    <definedName name="RFinanceiro">#REF!</definedName>
    <definedName name="RInformática">#REF!</definedName>
    <definedName name="ROutro">#REF!</definedName>
    <definedName name="RRH">#REF!</definedName>
    <definedName name="rrrr" localSheetId="1">Assumptions!rrrr</definedName>
    <definedName name="rrrr" localSheetId="5">Costs!rrrr</definedName>
    <definedName name="rrrr" localSheetId="11">Indicators!rrrr</definedName>
    <definedName name="rrrr" localSheetId="2">'Land Sales and Purchase'!rrrr</definedName>
    <definedName name="rrrr" localSheetId="8">NOPAT!rrrr</definedName>
    <definedName name="rrrr" localSheetId="4">Revenue!rrrr</definedName>
    <definedName name="rrrr" localSheetId="9">Valuation!rrrr</definedName>
    <definedName name="rrrr" localSheetId="6">WC!rrrr</definedName>
    <definedName name="rrrr">[0]!rrrr</definedName>
    <definedName name="RSuprimentos">#REF!</definedName>
    <definedName name="s" localSheetId="1">Assumptions!s</definedName>
    <definedName name="s" localSheetId="5">Costs!s</definedName>
    <definedName name="s" localSheetId="11">Indicators!s</definedName>
    <definedName name="s" localSheetId="2">'Land Sales and Purchase'!s</definedName>
    <definedName name="s" localSheetId="8">NOPAT!s</definedName>
    <definedName name="s" localSheetId="4">Revenue!s</definedName>
    <definedName name="s" localSheetId="9">Valuation!s</definedName>
    <definedName name="s" localSheetId="6">WC!s</definedName>
    <definedName name="s">[0]!s</definedName>
    <definedName name="SALDO">#REF!</definedName>
    <definedName name="SaveNewFile" localSheetId="1">Assumptions!SaveNewFile</definedName>
    <definedName name="SaveNewFile" localSheetId="5">Costs!SaveNewFile</definedName>
    <definedName name="SaveNewFile" localSheetId="11">Indicators!SaveNewFile</definedName>
    <definedName name="SaveNewFile" localSheetId="2">'Land Sales and Purchase'!SaveNewFile</definedName>
    <definedName name="SaveNewFile" localSheetId="8">NOPAT!SaveNewFile</definedName>
    <definedName name="SaveNewFile" localSheetId="4">Revenue!SaveNewFile</definedName>
    <definedName name="SaveNewFile" localSheetId="9">Valuation!SaveNewFile</definedName>
    <definedName name="SaveNewFile" localSheetId="6">WC!SaveNewFile</definedName>
    <definedName name="SaveNewFile">[0]!SaveNewFile</definedName>
    <definedName name="savenewfile2" localSheetId="1">Assumptions!savenewfile2</definedName>
    <definedName name="savenewfile2" localSheetId="5">Costs!savenewfile2</definedName>
    <definedName name="savenewfile2" localSheetId="11">Indicators!savenewfile2</definedName>
    <definedName name="savenewfile2" localSheetId="2">'Land Sales and Purchase'!savenewfile2</definedName>
    <definedName name="savenewfile2" localSheetId="8">NOPAT!savenewfile2</definedName>
    <definedName name="savenewfile2" localSheetId="4">Revenue!savenewfile2</definedName>
    <definedName name="savenewfile2" localSheetId="9">Valuation!savenewfile2</definedName>
    <definedName name="savenewfile2" localSheetId="6">WC!savenewfile2</definedName>
    <definedName name="savenewfile2">[0]!savenewfile2</definedName>
    <definedName name="Sensibilidade1">[20]INPUT!$A$1:$E$65536,[20]INPUT!$A$1:$IV$2</definedName>
    <definedName name="Sep_98">#REF!</definedName>
    <definedName name="SP">#REF!</definedName>
    <definedName name="ssssss" localSheetId="1">Assumptions!ssssss</definedName>
    <definedName name="ssssss" localSheetId="5">Costs!ssssss</definedName>
    <definedName name="ssssss" localSheetId="11">Indicators!ssssss</definedName>
    <definedName name="ssssss" localSheetId="2">'Land Sales and Purchase'!ssssss</definedName>
    <definedName name="ssssss" localSheetId="8">NOPAT!ssssss</definedName>
    <definedName name="ssssss" localSheetId="4">Revenue!ssssss</definedName>
    <definedName name="ssssss" localSheetId="9">Valuation!ssssss</definedName>
    <definedName name="ssssss" localSheetId="6">WC!ssssss</definedName>
    <definedName name="ssssss">[0]!ssssss</definedName>
    <definedName name="Tabela_Cenário">#REF!</definedName>
    <definedName name="teste" localSheetId="1">Assumptions!teste</definedName>
    <definedName name="teste" localSheetId="5">Costs!teste</definedName>
    <definedName name="teste" localSheetId="11">Indicators!teste</definedName>
    <definedName name="teste" localSheetId="2">'Land Sales and Purchase'!teste</definedName>
    <definedName name="teste" localSheetId="8">NOPAT!teste</definedName>
    <definedName name="teste" localSheetId="4">Revenue!teste</definedName>
    <definedName name="teste" localSheetId="9">Valuation!teste</definedName>
    <definedName name="teste" localSheetId="6">WC!teste</definedName>
    <definedName name="teste">[0]!teste</definedName>
    <definedName name="teste0" localSheetId="1">Assumptions!teste0</definedName>
    <definedName name="teste0" localSheetId="5">Costs!teste0</definedName>
    <definedName name="teste0" localSheetId="11">Indicators!teste0</definedName>
    <definedName name="teste0" localSheetId="2">'Land Sales and Purchase'!teste0</definedName>
    <definedName name="teste0" localSheetId="8">NOPAT!teste0</definedName>
    <definedName name="teste0" localSheetId="4">Revenue!teste0</definedName>
    <definedName name="teste0" localSheetId="9">Valuation!teste0</definedName>
    <definedName name="teste0" localSheetId="6">WC!teste0</definedName>
    <definedName name="teste0">[0]!teste0</definedName>
    <definedName name="teste2" localSheetId="1">Assumptions!teste2</definedName>
    <definedName name="teste2" localSheetId="5">Costs!teste2</definedName>
    <definedName name="teste2" localSheetId="11">Indicators!teste2</definedName>
    <definedName name="teste2" localSheetId="2">'Land Sales and Purchase'!teste2</definedName>
    <definedName name="teste2" localSheetId="8">NOPAT!teste2</definedName>
    <definedName name="teste2" localSheetId="4">Revenue!teste2</definedName>
    <definedName name="teste2" localSheetId="9">Valuation!teste2</definedName>
    <definedName name="teste2" localSheetId="6">WC!teste2</definedName>
    <definedName name="teste2">[0]!teste2</definedName>
    <definedName name="teste3" localSheetId="1">Assumptions!teste3</definedName>
    <definedName name="teste3" localSheetId="5">Costs!teste3</definedName>
    <definedName name="teste3" localSheetId="11">Indicators!teste3</definedName>
    <definedName name="teste3" localSheetId="2">'Land Sales and Purchase'!teste3</definedName>
    <definedName name="teste3" localSheetId="8">NOPAT!teste3</definedName>
    <definedName name="teste3" localSheetId="4">Revenue!teste3</definedName>
    <definedName name="teste3" localSheetId="9">Valuation!teste3</definedName>
    <definedName name="teste3" localSheetId="6">WC!teste3</definedName>
    <definedName name="teste3">[0]!teste3</definedName>
    <definedName name="_xlnm.Print_Titles" localSheetId="1">Assumptions!$1:$7</definedName>
    <definedName name="_xlnm.Print_Titles" localSheetId="10">BS!$1:$6</definedName>
    <definedName name="_xlnm.Print_Titles" localSheetId="5">Costs!$1:$6</definedName>
    <definedName name="_xlnm.Print_Titles" localSheetId="11">[20]INPUT!$A$1:$E$65536,[20]INPUT!$A$1:$IV$2</definedName>
    <definedName name="_xlnm.Print_Titles" localSheetId="7">IS!$1:$6</definedName>
    <definedName name="_xlnm.Print_Titles" localSheetId="2">'Land Sales and Purchase'!$1:$6</definedName>
    <definedName name="_xlnm.Print_Titles" localSheetId="8">[20]INPUT!$A$1:$E$65536,[20]INPUT!$A$1:$IV$2</definedName>
    <definedName name="_xlnm.Print_Titles" localSheetId="3">Production!$1:$6</definedName>
    <definedName name="_xlnm.Print_Titles" localSheetId="4">Revenue!$1:$6</definedName>
    <definedName name="_xlnm.Print_Titles" localSheetId="9">[20]INPUT!$A$1:$E$65536,[20]INPUT!$A$1:$IV$2</definedName>
    <definedName name="_xlnm.Print_Titles" localSheetId="6">WC!$1:$6</definedName>
    <definedName name="_xlnm.Print_Titles">#REF!</definedName>
    <definedName name="txrate">[10]Control!$G$34</definedName>
    <definedName name="U.a" localSheetId="1">{"IBESD","WWP","I22","N","0","0","H"}</definedName>
    <definedName name="U.a" localSheetId="5">{"IBESD","WWP","I22","N","0","0","H"}</definedName>
    <definedName name="U.a" localSheetId="11">{"IBESD","WWP","I22","N","0","0","H"}</definedName>
    <definedName name="U.a" localSheetId="2">{"IBESD","WWP","I22","N","0","0","H"}</definedName>
    <definedName name="U.a" localSheetId="8">{"IBESD","WWP","I22","N","0","0","H"}</definedName>
    <definedName name="U.a" localSheetId="4">{"IBESD","WWP","I22","N","0","0","H"}</definedName>
    <definedName name="U.a" localSheetId="9">{"IBESD","WWP","I22","N","0","0","H"}</definedName>
    <definedName name="U.a" localSheetId="6">{"IBESD","WWP","I22","N","0","0","H"}</definedName>
    <definedName name="U.a">{"IBESD","WWP","I22","N","0","0","H"}</definedName>
    <definedName name="U.AxesFormat" localSheetId="1">Assumptions!U.AxesFormat</definedName>
    <definedName name="U.AxesFormat" localSheetId="5">Costs!U.AxesFormat</definedName>
    <definedName name="U.AxesFormat" localSheetId="11">Indicators!U.AxesFormat</definedName>
    <definedName name="U.AxesFormat" localSheetId="2">'Land Sales and Purchase'!U.AxesFormat</definedName>
    <definedName name="U.AxesFormat" localSheetId="8">NOPAT!U.AxesFormat</definedName>
    <definedName name="U.AxesFormat" localSheetId="4">Revenue!U.AxesFormat</definedName>
    <definedName name="U.AxesFormat" localSheetId="9">Valuation!U.AxesFormat</definedName>
    <definedName name="U.AxesFormat" localSheetId="6">WC!U.AxesFormat</definedName>
    <definedName name="U.AxesFormat">[0]!U.AxesFormat</definedName>
    <definedName name="U.Choices_Wrapper" localSheetId="1">Assumptions!U.Choices_Wrapper</definedName>
    <definedName name="U.Choices_Wrapper" localSheetId="5">Costs!U.Choices_Wrapper</definedName>
    <definedName name="U.Choices_Wrapper" localSheetId="11">Indicators!U.Choices_Wrapper</definedName>
    <definedName name="U.Choices_Wrapper" localSheetId="2">'Land Sales and Purchase'!U.Choices_Wrapper</definedName>
    <definedName name="U.Choices_Wrapper" localSheetId="8">NOPAT!U.Choices_Wrapper</definedName>
    <definedName name="U.Choices_Wrapper" localSheetId="4">Revenue!U.Choices_Wrapper</definedName>
    <definedName name="U.Choices_Wrapper" localSheetId="9">Valuation!U.Choices_Wrapper</definedName>
    <definedName name="U.Choices_Wrapper" localSheetId="6">WC!U.Choices_Wrapper</definedName>
    <definedName name="U.Choices_Wrapper">[0]!U.Choices_Wrapper</definedName>
    <definedName name="USD_Abr">'[7]Ind Econ e Financ'!$D$20</definedName>
    <definedName name="USD_Ago">'[7]Ind Econ e Financ'!$D$24</definedName>
    <definedName name="USD_Dez">'[7]Ind Econ e Financ'!$D$28</definedName>
    <definedName name="USD_Fev">'[7]Ind Econ e Financ'!$D$18</definedName>
    <definedName name="USD_Jan">'[7]Ind Econ e Financ'!$D$17</definedName>
    <definedName name="USD_Jul">'[7]Ind Econ e Financ'!$D$23</definedName>
    <definedName name="USD_Jun">'[7]Ind Econ e Financ'!$D$22</definedName>
    <definedName name="USD_Mai">'[7]Ind Econ e Financ'!$D$21</definedName>
    <definedName name="USD_Mar">'[7]Ind Econ e Financ'!$D$19</definedName>
    <definedName name="USD_Medio_F">'[7]Ind Econ e Financ'!#REF!</definedName>
    <definedName name="USD_Medio_O">'[7]Ind Econ e Financ'!#REF!</definedName>
    <definedName name="USD_Nov">'[7]Ind Econ e Financ'!$D$27</definedName>
    <definedName name="USD_Out">'[7]Ind Econ e Financ'!$D$26</definedName>
    <definedName name="USD_Set">'[7]Ind Econ e Financ'!$D$25</definedName>
    <definedName name="USDMd_Algodao">'[16]PC Agrícola'!$C$7</definedName>
    <definedName name="USDMd_GGerais">'[16]PC Agrícola'!$C$10</definedName>
    <definedName name="USDMd_Insumos">'[16]PC Agrícola'!$C$9</definedName>
    <definedName name="USDMd_Oleo">'[15]Divisão Óleo'!#REF!</definedName>
    <definedName name="USDMd_Soja">'[16]PC Agrícola'!$C$8</definedName>
    <definedName name="USDMedio">#REF!</definedName>
    <definedName name="www" localSheetId="1">Assumptions!www</definedName>
    <definedName name="www" localSheetId="5">Costs!www</definedName>
    <definedName name="www" localSheetId="11">Indicators!www</definedName>
    <definedName name="www" localSheetId="2">'Land Sales and Purchase'!www</definedName>
    <definedName name="www" localSheetId="8">NOPAT!www</definedName>
    <definedName name="www" localSheetId="4">Revenue!www</definedName>
    <definedName name="www" localSheetId="9">Valuation!www</definedName>
    <definedName name="www" localSheetId="6">WC!www</definedName>
    <definedName name="www">[0]!www</definedName>
    <definedName name="wwwwww" localSheetId="1">Assumptions!wwwwww</definedName>
    <definedName name="wwwwww" localSheetId="5">Costs!wwwwww</definedName>
    <definedName name="wwwwww" localSheetId="11">Indicators!wwwwww</definedName>
    <definedName name="wwwwww" localSheetId="2">'Land Sales and Purchase'!wwwwww</definedName>
    <definedName name="wwwwww" localSheetId="8">NOPAT!wwwwww</definedName>
    <definedName name="wwwwww" localSheetId="4">Revenue!wwwwww</definedName>
    <definedName name="wwwwww" localSheetId="9">Valuation!wwwwww</definedName>
    <definedName name="wwwwww" localSheetId="6">WC!wwwwww</definedName>
    <definedName name="wwwwww">[0]!wwwwww</definedName>
    <definedName name="x" localSheetId="1" hidden="1">{"inputs raw data",#N/A,TRUE,"INPUT"}</definedName>
    <definedName name="x" localSheetId="5" hidden="1">{"inputs raw data",#N/A,TRUE,"INPUT"}</definedName>
    <definedName name="x" localSheetId="11" hidden="1">{"inputs raw data",#N/A,TRUE,"INPUT"}</definedName>
    <definedName name="x" localSheetId="2" hidden="1">{"inputs raw data",#N/A,TRUE,"INPUT"}</definedName>
    <definedName name="x" localSheetId="8" hidden="1">{"inputs raw data",#N/A,TRUE,"INPUT"}</definedName>
    <definedName name="x" localSheetId="4" hidden="1">{"inputs raw data",#N/A,TRUE,"INPUT"}</definedName>
    <definedName name="x" localSheetId="9" hidden="1">{"inputs raw data",#N/A,TRUE,"INPUT"}</definedName>
    <definedName name="x" localSheetId="6" hidden="1">{"inputs raw data",#N/A,TRUE,"INPUT"}</definedName>
    <definedName name="x" hidden="1">{"inputs raw data",#N/A,TRUE,"INPUT"}</definedName>
    <definedName name="y1482.">#REF!</definedName>
    <definedName name="z" localSheetId="1">{"IBESD","WWP","I22","N","0","0","H"}</definedName>
    <definedName name="z" localSheetId="5">{"IBESD","WWP","I22","N","0","0","H"}</definedName>
    <definedName name="z" localSheetId="11">{"IBESD","WWP","I22","N","0","0","H"}</definedName>
    <definedName name="z" localSheetId="2">{"IBESD","WWP","I22","N","0","0","H"}</definedName>
    <definedName name="z" localSheetId="8">{"IBESD","WWP","I22","N","0","0","H"}</definedName>
    <definedName name="z" localSheetId="4">{"IBESD","WWP","I22","N","0","0","H"}</definedName>
    <definedName name="z" localSheetId="9">{"IBESD","WWP","I22","N","0","0","H"}</definedName>
    <definedName name="z" localSheetId="6">{"IBESD","WWP","I22","N","0","0","H"}</definedName>
    <definedName name="z">{"IBESD","WWP","I22","N","0","0","H"}</definedName>
    <definedName name="Z_279E0A5D_0AE3_4F73_BEE3_35A102D3711A_.wvu.Cols" localSheetId="11" hidden="1">Indicators!#REF!</definedName>
    <definedName name="Z_279E0A5D_0AE3_4F73_BEE3_35A102D3711A_.wvu.Cols" localSheetId="8" hidden="1">NOPAT!#REF!</definedName>
    <definedName name="Z_279E0A5D_0AE3_4F73_BEE3_35A102D3711A_.wvu.Cols" localSheetId="9" hidden="1">Valuation!#REF!</definedName>
    <definedName name="Z_279E0A5D_0AE3_4F73_BEE3_35A102D3711A_.wvu.PrintArea" localSheetId="1" hidden="1">Assumptions!$A$1:$G$63</definedName>
    <definedName name="Z_279E0A5D_0AE3_4F73_BEE3_35A102D3711A_.wvu.PrintArea" localSheetId="11" hidden="1">Indicators!$B$1:$K$9</definedName>
    <definedName name="Z_279E0A5D_0AE3_4F73_BEE3_35A102D3711A_.wvu.PrintArea" localSheetId="8" hidden="1">NOPAT!$C$1:$J$9</definedName>
    <definedName name="Z_279E0A5D_0AE3_4F73_BEE3_35A102D3711A_.wvu.PrintArea" localSheetId="4" hidden="1">Revenue!$A$1:$F$7</definedName>
    <definedName name="Z_279E0A5D_0AE3_4F73_BEE3_35A102D3711A_.wvu.PrintArea" localSheetId="9" hidden="1">Valuation!$B$1:$G$30</definedName>
    <definedName name="Z_279E0A5D_0AE3_4F73_BEE3_35A102D3711A_.wvu.PrintTitles" localSheetId="1" hidden="1">Assumptions!$1:$7</definedName>
    <definedName name="Z_279E0A5D_0AE3_4F73_BEE3_35A102D3711A_.wvu.PrintTitles" localSheetId="4" hidden="1">Revenue!$1:$6</definedName>
    <definedName name="Z_279E0A5D_0AE3_4F73_BEE3_35A102D3711A_.wvu.Rows" localSheetId="1" hidden="1">Assumptions!#REF!,Assumptions!#REF!</definedName>
    <definedName name="Z_279E0A5D_0AE3_4F73_BEE3_35A102D3711A_.wvu.Rows" localSheetId="8" hidden="1">NOPAT!#REF!</definedName>
    <definedName name="Z_279E0A5D_0AE3_4F73_BEE3_35A102D3711A_.wvu.Rows" localSheetId="4" hidden="1">Revenue!#REF!,Revenue!#REF!</definedName>
    <definedName name="Z_6AFE7B2D_3262_4CFE_AFB2_56B804645D2B_.wvu.Cols" localSheetId="11" hidden="1">Indicators!#REF!</definedName>
    <definedName name="Z_6AFE7B2D_3262_4CFE_AFB2_56B804645D2B_.wvu.Cols" localSheetId="8" hidden="1">NOPAT!#REF!</definedName>
    <definedName name="Z_6AFE7B2D_3262_4CFE_AFB2_56B804645D2B_.wvu.Cols" localSheetId="9" hidden="1">Valuation!#REF!</definedName>
    <definedName name="Z_6AFE7B2D_3262_4CFE_AFB2_56B804645D2B_.wvu.PrintArea" localSheetId="1" hidden="1">Assumptions!$A$1:$G$63</definedName>
    <definedName name="Z_6AFE7B2D_3262_4CFE_AFB2_56B804645D2B_.wvu.PrintArea" localSheetId="11" hidden="1">Indicators!$B$1:$K$9</definedName>
    <definedName name="Z_6AFE7B2D_3262_4CFE_AFB2_56B804645D2B_.wvu.PrintArea" localSheetId="8" hidden="1">NOPAT!$C$1:$J$9</definedName>
    <definedName name="Z_6AFE7B2D_3262_4CFE_AFB2_56B804645D2B_.wvu.PrintArea" localSheetId="4" hidden="1">Revenue!$A$1:$F$7</definedName>
    <definedName name="Z_6AFE7B2D_3262_4CFE_AFB2_56B804645D2B_.wvu.PrintArea" localSheetId="9" hidden="1">Valuation!$B$1:$G$30</definedName>
    <definedName name="Z_6AFE7B2D_3262_4CFE_AFB2_56B804645D2B_.wvu.PrintTitles" localSheetId="1" hidden="1">Assumptions!$1:$7</definedName>
    <definedName name="Z_6AFE7B2D_3262_4CFE_AFB2_56B804645D2B_.wvu.PrintTitles" localSheetId="4" hidden="1">Revenue!$1:$6</definedName>
    <definedName name="Z_6AFE7B2D_3262_4CFE_AFB2_56B804645D2B_.wvu.Rows" localSheetId="1" hidden="1">Assumptions!#REF!,Assumptions!#REF!</definedName>
    <definedName name="Z_6AFE7B2D_3262_4CFE_AFB2_56B804645D2B_.wvu.Rows" localSheetId="8" hidden="1">NOPAT!#REF!</definedName>
    <definedName name="Z_6AFE7B2D_3262_4CFE_AFB2_56B804645D2B_.wvu.Rows" localSheetId="4" hidden="1">Revenue!#REF!,Revenue!#REF!</definedName>
    <definedName name="Z_B60B828D_8AAD_4C7C_A517_41E9D0867E1B_.wvu.Cols" localSheetId="11" hidden="1">Indicators!#REF!</definedName>
    <definedName name="Z_B60B828D_8AAD_4C7C_A517_41E9D0867E1B_.wvu.Cols" localSheetId="8" hidden="1">NOPAT!#REF!</definedName>
    <definedName name="Z_B60B828D_8AAD_4C7C_A517_41E9D0867E1B_.wvu.Cols" localSheetId="9" hidden="1">Valuation!#REF!</definedName>
    <definedName name="Z_B60B828D_8AAD_4C7C_A517_41E9D0867E1B_.wvu.PrintArea" localSheetId="1" hidden="1">Assumptions!$A$1:$G$63</definedName>
    <definedName name="Z_B60B828D_8AAD_4C7C_A517_41E9D0867E1B_.wvu.PrintArea" localSheetId="11" hidden="1">Indicators!$B$1:$K$9</definedName>
    <definedName name="Z_B60B828D_8AAD_4C7C_A517_41E9D0867E1B_.wvu.PrintArea" localSheetId="8" hidden="1">NOPAT!$C$1:$J$9</definedName>
    <definedName name="Z_B60B828D_8AAD_4C7C_A517_41E9D0867E1B_.wvu.PrintArea" localSheetId="4" hidden="1">Revenue!$A$1:$F$7</definedName>
    <definedName name="Z_B60B828D_8AAD_4C7C_A517_41E9D0867E1B_.wvu.PrintArea" localSheetId="9" hidden="1">Valuation!$B$1:$G$30</definedName>
    <definedName name="Z_B60B828D_8AAD_4C7C_A517_41E9D0867E1B_.wvu.PrintTitles" localSheetId="1" hidden="1">Assumptions!$1:$7</definedName>
    <definedName name="Z_B60B828D_8AAD_4C7C_A517_41E9D0867E1B_.wvu.PrintTitles" localSheetId="4" hidden="1">Revenue!$1:$6</definedName>
    <definedName name="Z_B60B828D_8AAD_4C7C_A517_41E9D0867E1B_.wvu.Rows" localSheetId="1" hidden="1">Assumptions!#REF!,Assumptions!#REF!</definedName>
    <definedName name="Z_B60B828D_8AAD_4C7C_A517_41E9D0867E1B_.wvu.Rows" localSheetId="8" hidden="1">NOPAT!#REF!</definedName>
    <definedName name="Z_B60B828D_8AAD_4C7C_A517_41E9D0867E1B_.wvu.Rows" localSheetId="4" hidden="1">Revenue!#REF!,Revenue!#REF!</definedName>
    <definedName name="ZER">#REF!</definedName>
    <definedName name="zzz" localSheetId="1">Assumptions!zzz</definedName>
    <definedName name="zzz" localSheetId="5">Costs!zzz</definedName>
    <definedName name="zzz" localSheetId="11">Indicators!zzz</definedName>
    <definedName name="zzz" localSheetId="2">'Land Sales and Purchase'!zzz</definedName>
    <definedName name="zzz" localSheetId="8">NOPAT!zzz</definedName>
    <definedName name="zzz" localSheetId="4">Revenue!zzz</definedName>
    <definedName name="zzz" localSheetId="9">Valuation!zzz</definedName>
    <definedName name="zzz" localSheetId="6">WC!zzz</definedName>
    <definedName name="zzz">[0]!zzz</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9" i="43" l="1"/>
  <c r="C17" i="43"/>
  <c r="C15" i="43"/>
  <c r="C14" i="43"/>
  <c r="C13" i="43"/>
  <c r="C12" i="43"/>
  <c r="C11" i="43"/>
  <c r="C10" i="43"/>
  <c r="M234" i="31"/>
  <c r="M240" i="31"/>
  <c r="L69" i="26" l="1"/>
  <c r="L37" i="26" l="1"/>
  <c r="L28" i="26"/>
  <c r="M60" i="31"/>
  <c r="M54" i="31"/>
  <c r="M22" i="35" l="1"/>
  <c r="M16" i="35"/>
  <c r="M12" i="35"/>
  <c r="M15" i="35"/>
  <c r="M14" i="35"/>
  <c r="M13" i="35"/>
  <c r="M11" i="35"/>
  <c r="K72" i="6"/>
  <c r="K71" i="6"/>
  <c r="K69" i="6"/>
  <c r="K68" i="6"/>
  <c r="K66" i="6"/>
  <c r="K62" i="6"/>
  <c r="K60" i="6"/>
  <c r="K58" i="6"/>
  <c r="K54" i="6"/>
  <c r="K53" i="6"/>
  <c r="K51" i="6"/>
  <c r="K50" i="6"/>
  <c r="K49" i="6"/>
  <c r="K48" i="6"/>
  <c r="K47" i="6"/>
  <c r="K46" i="6"/>
  <c r="K45" i="6"/>
  <c r="K44" i="6"/>
  <c r="K43" i="6"/>
  <c r="K37" i="6"/>
  <c r="K36" i="6"/>
  <c r="K35" i="6"/>
  <c r="K34" i="6"/>
  <c r="L153" i="31" l="1"/>
  <c r="L152" i="31" s="1"/>
  <c r="M153" i="31"/>
  <c r="M152" i="31" s="1"/>
  <c r="M179" i="31"/>
  <c r="M165" i="31"/>
  <c r="N154" i="31"/>
  <c r="N153" i="31"/>
  <c r="N152" i="31" s="1"/>
  <c r="K32" i="31"/>
  <c r="L26" i="31"/>
  <c r="M26" i="31"/>
  <c r="N26" i="31"/>
  <c r="N30" i="31"/>
  <c r="M30" i="31"/>
  <c r="N125" i="31"/>
  <c r="M126" i="31"/>
  <c r="M127" i="31" s="1"/>
  <c r="J30" i="6"/>
  <c r="J62" i="6"/>
  <c r="J54" i="6"/>
  <c r="J17" i="6"/>
  <c r="J24" i="41"/>
  <c r="K24" i="41"/>
  <c r="L225" i="31"/>
  <c r="K28" i="26"/>
  <c r="K37" i="26"/>
  <c r="L25" i="35"/>
  <c r="L22" i="35"/>
  <c r="L21" i="35"/>
  <c r="L20" i="35"/>
  <c r="L16" i="35"/>
  <c r="L15" i="35"/>
  <c r="L14" i="35"/>
  <c r="L13" i="35"/>
  <c r="L12" i="35"/>
  <c r="L10" i="35"/>
  <c r="L54" i="31" l="1"/>
  <c r="L60" i="31" l="1"/>
  <c r="L74" i="31"/>
  <c r="L107" i="31" s="1"/>
  <c r="L30" i="31"/>
  <c r="L32" i="31" s="1"/>
  <c r="M32" i="31"/>
  <c r="K225" i="31" l="1"/>
  <c r="I62" i="6"/>
  <c r="I47" i="6"/>
  <c r="I17" i="6"/>
  <c r="I9" i="6"/>
  <c r="J52" i="26"/>
  <c r="K60" i="31"/>
  <c r="L11" i="31"/>
  <c r="K11" i="31"/>
  <c r="H9" i="6" l="1"/>
  <c r="H47" i="6"/>
  <c r="H17" i="6"/>
  <c r="J60" i="31"/>
  <c r="J174" i="31" l="1"/>
  <c r="J80" i="31" l="1"/>
  <c r="J78" i="31"/>
  <c r="I78" i="31"/>
  <c r="H76" i="31" l="1"/>
  <c r="I76" i="31"/>
  <c r="J225" i="31" l="1"/>
  <c r="I13" i="41"/>
  <c r="I19" i="26"/>
  <c r="I15" i="26"/>
  <c r="I14" i="26"/>
  <c r="I13" i="26"/>
  <c r="I12" i="26"/>
  <c r="J21" i="35"/>
  <c r="J20" i="35"/>
  <c r="J16" i="35"/>
  <c r="J14" i="35"/>
  <c r="J13" i="35"/>
  <c r="J12" i="35"/>
  <c r="J152" i="31"/>
  <c r="K126" i="31" l="1"/>
  <c r="J126" i="31"/>
  <c r="J127" i="31" s="1"/>
  <c r="J44" i="31"/>
  <c r="K14" i="31"/>
  <c r="K147" i="31" s="1"/>
  <c r="J14" i="31"/>
  <c r="J147" i="31" s="1"/>
  <c r="J11" i="31"/>
  <c r="J150" i="31" s="1"/>
  <c r="J48" i="31" l="1"/>
  <c r="K48" i="31"/>
  <c r="K44" i="31"/>
  <c r="K127" i="31"/>
  <c r="J74" i="31"/>
  <c r="O30" i="31" l="1"/>
  <c r="P30" i="31" s="1"/>
  <c r="Q30" i="31" s="1"/>
  <c r="R30" i="31" s="1"/>
  <c r="S30" i="31" s="1"/>
  <c r="T30" i="31" s="1"/>
  <c r="N35" i="35" l="1"/>
  <c r="O35" i="35"/>
  <c r="P35" i="35"/>
  <c r="Q35" i="35"/>
  <c r="R35" i="35"/>
  <c r="S35" i="35"/>
  <c r="T35" i="35"/>
  <c r="N36" i="35"/>
  <c r="O36" i="35"/>
  <c r="P36" i="35"/>
  <c r="Q36" i="35"/>
  <c r="R36" i="35"/>
  <c r="S36" i="35"/>
  <c r="T36" i="35"/>
  <c r="N37" i="35"/>
  <c r="O37" i="35"/>
  <c r="P37" i="35"/>
  <c r="Q37" i="35"/>
  <c r="R37" i="35"/>
  <c r="S37" i="35"/>
  <c r="T37" i="35"/>
  <c r="N38" i="35"/>
  <c r="O38" i="35"/>
  <c r="P38" i="35"/>
  <c r="Q38" i="35"/>
  <c r="R38" i="35"/>
  <c r="S38" i="35"/>
  <c r="T38" i="35"/>
  <c r="N39" i="35"/>
  <c r="O39" i="35"/>
  <c r="P39" i="35"/>
  <c r="Q39" i="35"/>
  <c r="R39" i="35"/>
  <c r="S39" i="35"/>
  <c r="T39" i="35"/>
  <c r="N40" i="35"/>
  <c r="O40" i="35"/>
  <c r="P40" i="35"/>
  <c r="Q40" i="35"/>
  <c r="R40" i="35"/>
  <c r="S40" i="35"/>
  <c r="T40" i="35"/>
  <c r="N41" i="35"/>
  <c r="O41" i="35"/>
  <c r="P41" i="35"/>
  <c r="Q41" i="35"/>
  <c r="R41" i="35"/>
  <c r="S41" i="35"/>
  <c r="T41" i="35"/>
  <c r="N42" i="35"/>
  <c r="O42" i="35"/>
  <c r="P42" i="35"/>
  <c r="Q42" i="35"/>
  <c r="R42" i="35"/>
  <c r="S42" i="35"/>
  <c r="T42" i="35"/>
  <c r="N43" i="35"/>
  <c r="O43" i="35"/>
  <c r="P43" i="35"/>
  <c r="Q43" i="35"/>
  <c r="R43" i="35"/>
  <c r="S43" i="35"/>
  <c r="T43" i="35"/>
  <c r="N44" i="35"/>
  <c r="O44" i="35"/>
  <c r="P44" i="35"/>
  <c r="Q44" i="35"/>
  <c r="R44" i="35"/>
  <c r="S44" i="35"/>
  <c r="T44" i="35"/>
  <c r="N45" i="35"/>
  <c r="O45" i="35"/>
  <c r="P45" i="35"/>
  <c r="Q45" i="35"/>
  <c r="R45" i="35"/>
  <c r="S45" i="35"/>
  <c r="T45" i="35"/>
  <c r="N46" i="35"/>
  <c r="O46" i="35"/>
  <c r="P46" i="35"/>
  <c r="Q46" i="35"/>
  <c r="R46" i="35"/>
  <c r="S46" i="35"/>
  <c r="T46" i="35"/>
  <c r="N47" i="35"/>
  <c r="O47" i="35"/>
  <c r="P47" i="35"/>
  <c r="Q47" i="35"/>
  <c r="R47" i="35"/>
  <c r="S47" i="35"/>
  <c r="T47" i="35"/>
  <c r="N48" i="35"/>
  <c r="O48" i="35"/>
  <c r="P48" i="35"/>
  <c r="Q48" i="35"/>
  <c r="R48" i="35"/>
  <c r="S48" i="35"/>
  <c r="T48" i="35"/>
  <c r="E13" i="41" l="1"/>
  <c r="F13" i="41"/>
  <c r="G13" i="41"/>
  <c r="D13" i="41"/>
  <c r="H67" i="27" l="1"/>
  <c r="G66" i="27"/>
  <c r="F65" i="27"/>
  <c r="E64" i="27"/>
  <c r="E174" i="31"/>
  <c r="I60" i="31"/>
  <c r="H60" i="31"/>
  <c r="G60" i="31"/>
  <c r="F60" i="31"/>
  <c r="E60" i="31"/>
  <c r="I248" i="31"/>
  <c r="H57" i="26"/>
  <c r="H59" i="26" s="1"/>
  <c r="D26" i="29"/>
  <c r="E26" i="29"/>
  <c r="F26" i="29"/>
  <c r="G26" i="29"/>
  <c r="G27" i="29" s="1"/>
  <c r="J52" i="29"/>
  <c r="J31" i="29"/>
  <c r="P10" i="27"/>
  <c r="L52" i="29"/>
  <c r="L10" i="27"/>
  <c r="E225" i="31"/>
  <c r="F225" i="31"/>
  <c r="G225" i="31"/>
  <c r="H225" i="31"/>
  <c r="I225" i="31"/>
  <c r="I24" i="41"/>
  <c r="E24" i="41"/>
  <c r="F24" i="41"/>
  <c r="G24" i="41"/>
  <c r="H24" i="41"/>
  <c r="D24" i="41"/>
  <c r="J28" i="26"/>
  <c r="M28" i="26"/>
  <c r="N28" i="26"/>
  <c r="O28" i="26"/>
  <c r="P28" i="26"/>
  <c r="Q28" i="26"/>
  <c r="R28" i="26"/>
  <c r="S28" i="26"/>
  <c r="J37" i="26"/>
  <c r="M37" i="26"/>
  <c r="N37" i="26"/>
  <c r="O37" i="26"/>
  <c r="P37" i="26"/>
  <c r="Q37" i="26"/>
  <c r="R37" i="26"/>
  <c r="S37" i="26"/>
  <c r="I37" i="26"/>
  <c r="I28" i="26"/>
  <c r="E219" i="31"/>
  <c r="I108" i="27"/>
  <c r="H107" i="27"/>
  <c r="G106" i="27"/>
  <c r="I88" i="27"/>
  <c r="H87" i="27"/>
  <c r="G86" i="27"/>
  <c r="F85" i="27"/>
  <c r="E84" i="27"/>
  <c r="E78" i="31"/>
  <c r="E111" i="31" s="1"/>
  <c r="K18" i="54"/>
  <c r="F19" i="27"/>
  <c r="F25" i="27" s="1"/>
  <c r="G19" i="27"/>
  <c r="G25" i="27"/>
  <c r="H19" i="27"/>
  <c r="I19" i="27"/>
  <c r="J19" i="27"/>
  <c r="J25" i="27" s="1"/>
  <c r="K19" i="27"/>
  <c r="K25" i="27" s="1"/>
  <c r="E19" i="27"/>
  <c r="E25" i="27" s="1"/>
  <c r="I50" i="31"/>
  <c r="H50" i="31"/>
  <c r="G50" i="31"/>
  <c r="F50" i="31"/>
  <c r="E50" i="31"/>
  <c r="G49" i="31"/>
  <c r="F49" i="31"/>
  <c r="E49" i="31"/>
  <c r="I46" i="31"/>
  <c r="H46" i="31"/>
  <c r="G46" i="31"/>
  <c r="F46" i="31"/>
  <c r="E46" i="31"/>
  <c r="I45" i="31"/>
  <c r="H45" i="31"/>
  <c r="H44" i="31" s="1"/>
  <c r="H18" i="27" s="1"/>
  <c r="G45" i="31"/>
  <c r="F45" i="31"/>
  <c r="E45" i="31"/>
  <c r="E43" i="31"/>
  <c r="E17" i="27" s="1"/>
  <c r="E23" i="27" s="1"/>
  <c r="F43" i="31"/>
  <c r="F17" i="27" s="1"/>
  <c r="F23" i="27" s="1"/>
  <c r="G43" i="31"/>
  <c r="G17" i="27" s="1"/>
  <c r="G23" i="27" s="1"/>
  <c r="H43" i="31"/>
  <c r="H17" i="27" s="1"/>
  <c r="H23" i="27" s="1"/>
  <c r="I43" i="31"/>
  <c r="I17" i="27" s="1"/>
  <c r="I23" i="27" s="1"/>
  <c r="J17" i="27"/>
  <c r="F16" i="53"/>
  <c r="F17" i="53" s="1"/>
  <c r="G16" i="53"/>
  <c r="G17" i="53" s="1"/>
  <c r="H16" i="53"/>
  <c r="H17" i="53" s="1"/>
  <c r="I16" i="53"/>
  <c r="I17" i="53" s="1"/>
  <c r="E16" i="53"/>
  <c r="E17" i="53" s="1"/>
  <c r="F9" i="6"/>
  <c r="F21" i="6" s="1"/>
  <c r="D67" i="6"/>
  <c r="D74" i="6" s="1"/>
  <c r="E67" i="6"/>
  <c r="E62" i="6"/>
  <c r="E64" i="6" s="1"/>
  <c r="D62" i="6"/>
  <c r="E54" i="6"/>
  <c r="E56" i="6" s="1"/>
  <c r="D54" i="6"/>
  <c r="D50" i="6"/>
  <c r="E30" i="6"/>
  <c r="E32" i="6" s="1"/>
  <c r="D30" i="6"/>
  <c r="D32" i="6" s="1"/>
  <c r="M17" i="27"/>
  <c r="M23" i="27" s="1"/>
  <c r="D9" i="6"/>
  <c r="E9" i="6"/>
  <c r="E21" i="6" s="1"/>
  <c r="C67" i="6"/>
  <c r="C74" i="6" s="1"/>
  <c r="C62" i="6"/>
  <c r="C64" i="6" s="1"/>
  <c r="C39" i="6"/>
  <c r="D39" i="6"/>
  <c r="E39" i="6"/>
  <c r="F39" i="6"/>
  <c r="C30" i="6"/>
  <c r="C32" i="6" s="1"/>
  <c r="C9" i="6"/>
  <c r="C21" i="6" s="1"/>
  <c r="I26" i="29"/>
  <c r="G39" i="6"/>
  <c r="K78" i="31"/>
  <c r="K111" i="31" s="1"/>
  <c r="K17" i="27"/>
  <c r="K23" i="27" s="1"/>
  <c r="I8" i="29"/>
  <c r="I14" i="29" s="1"/>
  <c r="I37" i="29" s="1"/>
  <c r="H8" i="29"/>
  <c r="H14" i="29" s="1"/>
  <c r="H37" i="29" s="1"/>
  <c r="L159" i="31"/>
  <c r="J8" i="29" s="1"/>
  <c r="J14" i="29" s="1"/>
  <c r="J37" i="29" s="1"/>
  <c r="I24" i="29"/>
  <c r="K10" i="27"/>
  <c r="I9" i="35"/>
  <c r="I18" i="35" s="1"/>
  <c r="K80" i="31"/>
  <c r="K113" i="31" s="1"/>
  <c r="L17" i="27"/>
  <c r="I18" i="54"/>
  <c r="I11" i="54"/>
  <c r="F32" i="31"/>
  <c r="G32" i="31"/>
  <c r="H32" i="31"/>
  <c r="I32" i="31"/>
  <c r="J32" i="31"/>
  <c r="E32" i="31"/>
  <c r="E104" i="27"/>
  <c r="K28" i="31"/>
  <c r="L28" i="31"/>
  <c r="M28" i="31"/>
  <c r="M29" i="31" s="1"/>
  <c r="N28" i="31"/>
  <c r="O28" i="31"/>
  <c r="P28" i="31"/>
  <c r="Q28" i="31"/>
  <c r="R28" i="31"/>
  <c r="S28" i="31"/>
  <c r="T28" i="31"/>
  <c r="J28" i="31"/>
  <c r="F28" i="31"/>
  <c r="G28" i="31"/>
  <c r="H28" i="31"/>
  <c r="I28" i="31"/>
  <c r="E28" i="31"/>
  <c r="J111" i="31"/>
  <c r="K74" i="31"/>
  <c r="K107" i="31" s="1"/>
  <c r="L76" i="31"/>
  <c r="L109" i="31" s="1"/>
  <c r="M53" i="26"/>
  <c r="N53" i="26" s="1"/>
  <c r="O53" i="26" s="1"/>
  <c r="P53" i="26" s="1"/>
  <c r="Q53" i="26" s="1"/>
  <c r="R53" i="26" s="1"/>
  <c r="S53" i="26" s="1"/>
  <c r="M47" i="26"/>
  <c r="N47" i="26" s="1"/>
  <c r="O47" i="26" s="1"/>
  <c r="P47" i="26" s="1"/>
  <c r="Q47" i="26" s="1"/>
  <c r="R47" i="26" s="1"/>
  <c r="S47" i="26" s="1"/>
  <c r="H68" i="26"/>
  <c r="H66" i="26"/>
  <c r="I179" i="31" s="1"/>
  <c r="H36" i="26"/>
  <c r="H33" i="26"/>
  <c r="H35" i="26"/>
  <c r="H34" i="26"/>
  <c r="H32" i="26"/>
  <c r="G36" i="26"/>
  <c r="G33" i="26"/>
  <c r="G35" i="26"/>
  <c r="G34" i="26"/>
  <c r="G32" i="26"/>
  <c r="G66" i="26"/>
  <c r="H179" i="31" s="1"/>
  <c r="F36" i="26"/>
  <c r="F35" i="26"/>
  <c r="F34" i="26"/>
  <c r="F33" i="26"/>
  <c r="F32" i="26"/>
  <c r="F66" i="26"/>
  <c r="G179" i="31" s="1"/>
  <c r="F23" i="26"/>
  <c r="D66" i="26"/>
  <c r="E179" i="31" s="1"/>
  <c r="E66" i="26"/>
  <c r="F179" i="31" s="1"/>
  <c r="E36" i="26"/>
  <c r="E33" i="26"/>
  <c r="E35" i="26"/>
  <c r="E34" i="26"/>
  <c r="E32" i="26"/>
  <c r="E49" i="26"/>
  <c r="F49" i="26"/>
  <c r="G49" i="26"/>
  <c r="H49" i="26"/>
  <c r="D49" i="26"/>
  <c r="D36" i="26"/>
  <c r="D33" i="26"/>
  <c r="D35" i="26"/>
  <c r="D34" i="26"/>
  <c r="D32" i="26"/>
  <c r="D28" i="26"/>
  <c r="G189" i="29"/>
  <c r="E13" i="27"/>
  <c r="E10" i="27"/>
  <c r="E126" i="31"/>
  <c r="E127" i="31" s="1"/>
  <c r="E80" i="31"/>
  <c r="E113" i="31" s="1"/>
  <c r="E76" i="31"/>
  <c r="E109" i="31" s="1"/>
  <c r="E74" i="31"/>
  <c r="E107" i="31" s="1"/>
  <c r="E14" i="31"/>
  <c r="E147" i="31" s="1"/>
  <c r="E11" i="31"/>
  <c r="E150" i="31" s="1"/>
  <c r="G54" i="29"/>
  <c r="F54" i="29"/>
  <c r="E54" i="29"/>
  <c r="D54" i="29"/>
  <c r="G47" i="29"/>
  <c r="F47" i="29"/>
  <c r="E47" i="29"/>
  <c r="D47" i="29"/>
  <c r="H47" i="29"/>
  <c r="G33" i="29"/>
  <c r="F33" i="29"/>
  <c r="E33" i="29"/>
  <c r="D33" i="29"/>
  <c r="G11" i="29"/>
  <c r="G12" i="29" s="1"/>
  <c r="G59" i="29" s="1"/>
  <c r="F11" i="29"/>
  <c r="E11" i="29"/>
  <c r="D11" i="29"/>
  <c r="T99" i="27"/>
  <c r="S98" i="27"/>
  <c r="R97" i="27"/>
  <c r="Q96" i="27"/>
  <c r="P95" i="27"/>
  <c r="L126" i="31"/>
  <c r="N126" i="31"/>
  <c r="O126" i="31"/>
  <c r="P126" i="31"/>
  <c r="Q126" i="31"/>
  <c r="R126" i="31"/>
  <c r="S126" i="31"/>
  <c r="T126" i="31"/>
  <c r="F76" i="31"/>
  <c r="F109" i="31" s="1"/>
  <c r="F74" i="31"/>
  <c r="F107" i="31" s="1"/>
  <c r="D39" i="31"/>
  <c r="G14" i="31"/>
  <c r="G147" i="31" s="1"/>
  <c r="H14" i="31"/>
  <c r="H12" i="27" s="1"/>
  <c r="I14" i="31"/>
  <c r="I147" i="31" s="1"/>
  <c r="J20" i="27"/>
  <c r="F14" i="31"/>
  <c r="F12" i="27" s="1"/>
  <c r="H17" i="26"/>
  <c r="E17" i="26"/>
  <c r="E24" i="26" s="1"/>
  <c r="D18" i="35"/>
  <c r="D27" i="35"/>
  <c r="E52" i="29"/>
  <c r="F52" i="29"/>
  <c r="G52" i="29"/>
  <c r="H52" i="29"/>
  <c r="D52" i="29"/>
  <c r="E45" i="29"/>
  <c r="F45" i="29"/>
  <c r="G45" i="29"/>
  <c r="H45" i="29"/>
  <c r="D45" i="29"/>
  <c r="G80" i="31"/>
  <c r="G113" i="31" s="1"/>
  <c r="I80" i="31"/>
  <c r="I113" i="31" s="1"/>
  <c r="F80" i="31"/>
  <c r="F113" i="31" s="1"/>
  <c r="F11" i="31"/>
  <c r="F11" i="27" s="1"/>
  <c r="D31" i="29"/>
  <c r="E31" i="29"/>
  <c r="F31" i="29"/>
  <c r="G31" i="29"/>
  <c r="H31" i="29"/>
  <c r="D24" i="29"/>
  <c r="E24" i="29"/>
  <c r="F24" i="29"/>
  <c r="G24" i="29"/>
  <c r="H24" i="29"/>
  <c r="F13" i="27"/>
  <c r="G13" i="27"/>
  <c r="H13" i="27"/>
  <c r="I13" i="27"/>
  <c r="J13" i="27"/>
  <c r="F78" i="31"/>
  <c r="G78" i="31"/>
  <c r="G111" i="31" s="1"/>
  <c r="H78" i="31"/>
  <c r="H111" i="31" s="1"/>
  <c r="I111" i="31"/>
  <c r="G76" i="31"/>
  <c r="H109" i="31"/>
  <c r="I109" i="31"/>
  <c r="J76" i="31"/>
  <c r="G74" i="31"/>
  <c r="G107" i="31" s="1"/>
  <c r="H74" i="31"/>
  <c r="I74" i="31"/>
  <c r="I107" i="31" s="1"/>
  <c r="J107" i="31"/>
  <c r="K11" i="54"/>
  <c r="K12" i="54" s="1"/>
  <c r="K13" i="54" s="1"/>
  <c r="J18" i="54"/>
  <c r="J11" i="54"/>
  <c r="J12" i="54" s="1"/>
  <c r="I126" i="31"/>
  <c r="I127" i="31" s="1"/>
  <c r="J109" i="27"/>
  <c r="J49" i="27"/>
  <c r="G59" i="26"/>
  <c r="G17" i="26"/>
  <c r="H126" i="31"/>
  <c r="H127" i="31" s="1"/>
  <c r="G21" i="6"/>
  <c r="E74" i="6"/>
  <c r="F32" i="6"/>
  <c r="C56" i="6"/>
  <c r="G64" i="6"/>
  <c r="D64" i="6"/>
  <c r="D17" i="26"/>
  <c r="D24" i="26" s="1"/>
  <c r="D59" i="26"/>
  <c r="E59" i="26"/>
  <c r="F59" i="26"/>
  <c r="E96" i="26"/>
  <c r="F96" i="26"/>
  <c r="E98" i="26"/>
  <c r="F98" i="26"/>
  <c r="E100" i="26"/>
  <c r="F100" i="26"/>
  <c r="F8" i="29"/>
  <c r="G14" i="29"/>
  <c r="G37" i="29" s="1"/>
  <c r="L91" i="27"/>
  <c r="M92" i="27"/>
  <c r="N93" i="27"/>
  <c r="O94" i="27"/>
  <c r="F105" i="27"/>
  <c r="F10" i="27"/>
  <c r="H10" i="27"/>
  <c r="I10" i="27"/>
  <c r="J10" i="27"/>
  <c r="F126" i="31"/>
  <c r="F127" i="31" s="1"/>
  <c r="G126" i="31"/>
  <c r="G127" i="31" s="1"/>
  <c r="F64" i="6"/>
  <c r="G10" i="27"/>
  <c r="F56" i="6"/>
  <c r="G32" i="6"/>
  <c r="E27" i="35"/>
  <c r="F17" i="26"/>
  <c r="E8" i="29"/>
  <c r="E14" i="29" s="1"/>
  <c r="E37" i="29" s="1"/>
  <c r="G11" i="31"/>
  <c r="G11" i="27" s="1"/>
  <c r="H11" i="31"/>
  <c r="H11" i="27" s="1"/>
  <c r="I11" i="31"/>
  <c r="D8" i="29"/>
  <c r="D14" i="29" s="1"/>
  <c r="D37" i="29" s="1"/>
  <c r="D48" i="29" s="1"/>
  <c r="G18" i="35"/>
  <c r="E18" i="35"/>
  <c r="G27" i="35"/>
  <c r="F18" i="35"/>
  <c r="F27" i="35"/>
  <c r="D21" i="6"/>
  <c r="H18" i="35"/>
  <c r="H27" i="35"/>
  <c r="I27" i="35"/>
  <c r="K76" i="31"/>
  <c r="K109" i="31" s="1"/>
  <c r="K13" i="27"/>
  <c r="H80" i="31"/>
  <c r="J113" i="31"/>
  <c r="D13" i="33"/>
  <c r="H13" i="33"/>
  <c r="F13" i="33"/>
  <c r="G13" i="33"/>
  <c r="E13" i="33"/>
  <c r="D189" i="29"/>
  <c r="F189" i="29"/>
  <c r="E189" i="29"/>
  <c r="G74" i="6"/>
  <c r="G56" i="6"/>
  <c r="F74" i="6"/>
  <c r="L11" i="54"/>
  <c r="I31" i="29"/>
  <c r="G29" i="35"/>
  <c r="I52" i="29"/>
  <c r="N17" i="27"/>
  <c r="N23" i="27" s="1"/>
  <c r="G147" i="29"/>
  <c r="D147" i="29"/>
  <c r="E147" i="29"/>
  <c r="F147" i="29"/>
  <c r="G168" i="29"/>
  <c r="F168" i="29"/>
  <c r="D168" i="29"/>
  <c r="E168" i="29"/>
  <c r="M10" i="27"/>
  <c r="K31" i="29"/>
  <c r="L31" i="29"/>
  <c r="M31" i="29"/>
  <c r="O17" i="27"/>
  <c r="O23" i="27" s="1"/>
  <c r="L18" i="54"/>
  <c r="N10" i="27"/>
  <c r="M11" i="31"/>
  <c r="M11" i="27" s="1"/>
  <c r="K24" i="29"/>
  <c r="P17" i="27"/>
  <c r="P23" i="27" s="1"/>
  <c r="Q17" i="27"/>
  <c r="M18" i="54"/>
  <c r="O10" i="27"/>
  <c r="N11" i="31"/>
  <c r="N11" i="27" s="1"/>
  <c r="L24" i="29"/>
  <c r="O11" i="31"/>
  <c r="O11" i="27" s="1"/>
  <c r="M24" i="29"/>
  <c r="H26" i="29"/>
  <c r="M159" i="31"/>
  <c r="N159" i="31" s="1"/>
  <c r="L80" i="31"/>
  <c r="L113" i="31" s="1"/>
  <c r="L11" i="27"/>
  <c r="J24" i="29"/>
  <c r="M52" i="29"/>
  <c r="H150" i="31"/>
  <c r="O32" i="31"/>
  <c r="F111" i="31"/>
  <c r="I33" i="29"/>
  <c r="I11" i="29"/>
  <c r="I54" i="29"/>
  <c r="J38" i="26"/>
  <c r="M80" i="31"/>
  <c r="M113" i="31" s="1"/>
  <c r="H54" i="29"/>
  <c r="L13" i="27"/>
  <c r="N24" i="29"/>
  <c r="G12" i="27"/>
  <c r="E12" i="27"/>
  <c r="K20" i="27"/>
  <c r="I45" i="29"/>
  <c r="N31" i="29"/>
  <c r="E18" i="31"/>
  <c r="N52" i="29"/>
  <c r="E11" i="27"/>
  <c r="I47" i="29"/>
  <c r="H33" i="29"/>
  <c r="H11" i="29"/>
  <c r="K8" i="29"/>
  <c r="K14" i="29" s="1"/>
  <c r="K37" i="29" s="1"/>
  <c r="P52" i="29"/>
  <c r="O52" i="29"/>
  <c r="L14" i="31"/>
  <c r="L12" i="27" s="1"/>
  <c r="J45" i="29"/>
  <c r="M13" i="27"/>
  <c r="N80" i="31"/>
  <c r="O80" i="31"/>
  <c r="K45" i="29"/>
  <c r="G20" i="26" l="1"/>
  <c r="G27" i="26"/>
  <c r="G29" i="26" s="1"/>
  <c r="H24" i="26"/>
  <c r="H27" i="26"/>
  <c r="H29" i="26" s="1"/>
  <c r="H147" i="31"/>
  <c r="G31" i="27"/>
  <c r="G169" i="27" s="1"/>
  <c r="E44" i="31"/>
  <c r="E18" i="27" s="1"/>
  <c r="E24" i="27" s="1"/>
  <c r="E48" i="31"/>
  <c r="E20" i="27" s="1"/>
  <c r="E26" i="27" s="1"/>
  <c r="E41" i="6"/>
  <c r="G23" i="53" s="1"/>
  <c r="G41" i="6"/>
  <c r="I23" i="53" s="1"/>
  <c r="F31" i="27"/>
  <c r="F37" i="27" s="1"/>
  <c r="E34" i="29"/>
  <c r="G150" i="31"/>
  <c r="I12" i="29"/>
  <c r="I59" i="29" s="1"/>
  <c r="G44" i="31"/>
  <c r="G18" i="27" s="1"/>
  <c r="G24" i="27" s="1"/>
  <c r="F44" i="31"/>
  <c r="F18" i="27" s="1"/>
  <c r="F24" i="27" s="1"/>
  <c r="E55" i="29"/>
  <c r="G18" i="31"/>
  <c r="G26" i="31" s="1"/>
  <c r="G33" i="31" s="1"/>
  <c r="H18" i="31"/>
  <c r="H26" i="31" s="1"/>
  <c r="I29" i="35"/>
  <c r="D56" i="6"/>
  <c r="D76" i="6" s="1"/>
  <c r="G48" i="31"/>
  <c r="G20" i="27" s="1"/>
  <c r="H48" i="31"/>
  <c r="H20" i="27" s="1"/>
  <c r="H26" i="27" s="1"/>
  <c r="H113" i="31"/>
  <c r="J109" i="31"/>
  <c r="G109" i="31"/>
  <c r="H107" i="31"/>
  <c r="K18" i="27"/>
  <c r="K24" i="27" s="1"/>
  <c r="K18" i="31"/>
  <c r="K26" i="31" s="1"/>
  <c r="K11" i="27"/>
  <c r="K31" i="27" s="1"/>
  <c r="J12" i="27"/>
  <c r="J32" i="27" s="1"/>
  <c r="C16" i="43"/>
  <c r="J13" i="54"/>
  <c r="K12" i="27"/>
  <c r="O14" i="31"/>
  <c r="O12" i="27" s="1"/>
  <c r="M45" i="29"/>
  <c r="E26" i="31"/>
  <c r="E33" i="31" s="1"/>
  <c r="E34" i="31" s="1"/>
  <c r="M78" i="31"/>
  <c r="M111" i="31" s="1"/>
  <c r="L127" i="31"/>
  <c r="K38" i="26" s="1"/>
  <c r="N127" i="31"/>
  <c r="O159" i="31"/>
  <c r="P159" i="31" s="1"/>
  <c r="L8" i="29"/>
  <c r="L14" i="29" s="1"/>
  <c r="L37" i="29" s="1"/>
  <c r="N18" i="54"/>
  <c r="I18" i="31"/>
  <c r="I26" i="31" s="1"/>
  <c r="I33" i="31" s="1"/>
  <c r="I11" i="27"/>
  <c r="E76" i="6"/>
  <c r="E77" i="6" s="1"/>
  <c r="O125" i="31"/>
  <c r="O127" i="31" s="1"/>
  <c r="D41" i="6"/>
  <c r="F18" i="31"/>
  <c r="L78" i="31"/>
  <c r="L111" i="31" s="1"/>
  <c r="F147" i="31"/>
  <c r="L150" i="31"/>
  <c r="C76" i="6"/>
  <c r="H32" i="6"/>
  <c r="M11" i="54"/>
  <c r="F48" i="31"/>
  <c r="F20" i="27" s="1"/>
  <c r="I48" i="31"/>
  <c r="I20" i="27" s="1"/>
  <c r="I26" i="27" s="1"/>
  <c r="I12" i="27"/>
  <c r="Q10" i="27"/>
  <c r="L12" i="54"/>
  <c r="L13" i="54" s="1"/>
  <c r="J18" i="27"/>
  <c r="J24" i="27" s="1"/>
  <c r="J11" i="27"/>
  <c r="J18" i="31"/>
  <c r="J26" i="31" s="1"/>
  <c r="J33" i="31" s="1"/>
  <c r="J22" i="31" s="1"/>
  <c r="K55" i="26"/>
  <c r="K56" i="26" s="1"/>
  <c r="K19" i="41"/>
  <c r="K52" i="29"/>
  <c r="M14" i="31"/>
  <c r="I150" i="31"/>
  <c r="G34" i="29"/>
  <c r="F150" i="31"/>
  <c r="J47" i="29"/>
  <c r="J48" i="29" s="1"/>
  <c r="F76" i="6"/>
  <c r="E48" i="29"/>
  <c r="H48" i="29"/>
  <c r="G48" i="29"/>
  <c r="G55" i="29"/>
  <c r="E29" i="31"/>
  <c r="I12" i="54"/>
  <c r="I13" i="54" s="1"/>
  <c r="I27" i="29"/>
  <c r="I44" i="31"/>
  <c r="I18" i="27" s="1"/>
  <c r="I24" i="27" s="1"/>
  <c r="E27" i="29"/>
  <c r="H13" i="41"/>
  <c r="G24" i="26"/>
  <c r="D27" i="26"/>
  <c r="D29" i="26" s="1"/>
  <c r="G134" i="31"/>
  <c r="F16" i="33" s="1"/>
  <c r="F17" i="33" s="1"/>
  <c r="F20" i="33" s="1"/>
  <c r="H18" i="29"/>
  <c r="H19" i="29" s="1"/>
  <c r="H61" i="29" s="1"/>
  <c r="K29" i="27"/>
  <c r="K132" i="27" s="1"/>
  <c r="I29" i="27"/>
  <c r="G65" i="29" s="1"/>
  <c r="H55" i="29"/>
  <c r="E18" i="29"/>
  <c r="E19" i="29" s="1"/>
  <c r="E61" i="29" s="1"/>
  <c r="F29" i="27"/>
  <c r="H27" i="29"/>
  <c r="I40" i="29"/>
  <c r="I41" i="29" s="1"/>
  <c r="I60" i="29" s="1"/>
  <c r="D12" i="29"/>
  <c r="D59" i="29" s="1"/>
  <c r="H14" i="27"/>
  <c r="H19" i="31" s="1"/>
  <c r="E29" i="27"/>
  <c r="I55" i="29"/>
  <c r="N29" i="27"/>
  <c r="N135" i="27" s="1"/>
  <c r="G29" i="27"/>
  <c r="G35" i="27" s="1"/>
  <c r="E40" i="29"/>
  <c r="E41" i="29" s="1"/>
  <c r="E60" i="29" s="1"/>
  <c r="H25" i="27"/>
  <c r="H31" i="27"/>
  <c r="H169" i="27" s="1"/>
  <c r="N19" i="27"/>
  <c r="M19" i="27"/>
  <c r="M25" i="27" s="1"/>
  <c r="L23" i="27"/>
  <c r="L29" i="27"/>
  <c r="M44" i="31"/>
  <c r="M18" i="27" s="1"/>
  <c r="M30" i="27" s="1"/>
  <c r="O74" i="31"/>
  <c r="O107" i="31" s="1"/>
  <c r="N74" i="31"/>
  <c r="N107" i="31" s="1"/>
  <c r="H12" i="29"/>
  <c r="H59" i="29" s="1"/>
  <c r="G32" i="27"/>
  <c r="G188" i="27" s="1"/>
  <c r="D40" i="29"/>
  <c r="D41" i="29" s="1"/>
  <c r="D60" i="29" s="1"/>
  <c r="I34" i="29"/>
  <c r="H29" i="27"/>
  <c r="H35" i="27" s="1"/>
  <c r="F40" i="29"/>
  <c r="M38" i="26"/>
  <c r="L44" i="31"/>
  <c r="L18" i="27" s="1"/>
  <c r="L24" i="27" s="1"/>
  <c r="I18" i="29"/>
  <c r="I19" i="29" s="1"/>
  <c r="I61" i="29" s="1"/>
  <c r="G40" i="29"/>
  <c r="G41" i="29" s="1"/>
  <c r="G60" i="29" s="1"/>
  <c r="H40" i="29"/>
  <c r="H41" i="29" s="1"/>
  <c r="H60" i="29" s="1"/>
  <c r="P29" i="27"/>
  <c r="F127" i="27"/>
  <c r="D18" i="29"/>
  <c r="D19" i="29" s="1"/>
  <c r="D61" i="29" s="1"/>
  <c r="D27" i="29"/>
  <c r="J23" i="27"/>
  <c r="J29" i="27"/>
  <c r="F18" i="29"/>
  <c r="M29" i="27"/>
  <c r="O29" i="27"/>
  <c r="O136" i="27" s="1"/>
  <c r="M76" i="31"/>
  <c r="M109" i="31" s="1"/>
  <c r="G26" i="27"/>
  <c r="G14" i="27"/>
  <c r="D55" i="29"/>
  <c r="I25" i="27"/>
  <c r="L14" i="27"/>
  <c r="H34" i="29"/>
  <c r="E32" i="27"/>
  <c r="E186" i="27" s="1"/>
  <c r="L19" i="27"/>
  <c r="M74" i="31"/>
  <c r="M107" i="31" s="1"/>
  <c r="E12" i="29"/>
  <c r="E59" i="29" s="1"/>
  <c r="E64" i="26"/>
  <c r="L38" i="26"/>
  <c r="F30" i="27"/>
  <c r="G64" i="26"/>
  <c r="I23" i="31"/>
  <c r="I34" i="31"/>
  <c r="D34" i="29"/>
  <c r="N32" i="31"/>
  <c r="R17" i="27"/>
  <c r="Q24" i="29"/>
  <c r="K26" i="27"/>
  <c r="E14" i="27"/>
  <c r="E19" i="31" s="1"/>
  <c r="E31" i="27"/>
  <c r="K47" i="29"/>
  <c r="G37" i="27"/>
  <c r="G168" i="27"/>
  <c r="I48" i="29"/>
  <c r="L24" i="41"/>
  <c r="J26" i="27"/>
  <c r="I29" i="31"/>
  <c r="I22" i="31"/>
  <c r="Q29" i="27"/>
  <c r="Q23" i="27"/>
  <c r="N14" i="31"/>
  <c r="N48" i="31" s="1"/>
  <c r="N20" i="27" s="1"/>
  <c r="L45" i="29"/>
  <c r="P24" i="29"/>
  <c r="O24" i="29"/>
  <c r="F32" i="27"/>
  <c r="F26" i="27"/>
  <c r="N76" i="31"/>
  <c r="N109" i="31" s="1"/>
  <c r="P80" i="31"/>
  <c r="L18" i="31"/>
  <c r="L147" i="31"/>
  <c r="L48" i="31"/>
  <c r="L20" i="27" s="1"/>
  <c r="H30" i="27"/>
  <c r="H24" i="27"/>
  <c r="F14" i="27"/>
  <c r="E12" i="53"/>
  <c r="E11" i="53"/>
  <c r="E10" i="53"/>
  <c r="C41" i="6"/>
  <c r="G76" i="6"/>
  <c r="G77" i="6" s="1"/>
  <c r="P11" i="31"/>
  <c r="H10" i="53"/>
  <c r="H12" i="53"/>
  <c r="H11" i="53"/>
  <c r="F41" i="6"/>
  <c r="H29" i="35"/>
  <c r="H31" i="35" s="1"/>
  <c r="F29" i="35"/>
  <c r="G31" i="35" s="1"/>
  <c r="G12" i="53"/>
  <c r="G10" i="53"/>
  <c r="G11" i="53"/>
  <c r="I32" i="6"/>
  <c r="F10" i="53"/>
  <c r="H15" i="53"/>
  <c r="F12" i="29"/>
  <c r="F59" i="29" s="1"/>
  <c r="F14" i="29"/>
  <c r="I15" i="53"/>
  <c r="E29" i="35"/>
  <c r="E15" i="53"/>
  <c r="G15" i="53"/>
  <c r="G18" i="29"/>
  <c r="G19" i="29" s="1"/>
  <c r="G61" i="29" s="1"/>
  <c r="I12" i="53"/>
  <c r="G39" i="26"/>
  <c r="G41" i="26" s="1"/>
  <c r="D64" i="26"/>
  <c r="I11" i="53"/>
  <c r="I10" i="53"/>
  <c r="D29" i="35"/>
  <c r="H64" i="26"/>
  <c r="H134" i="31"/>
  <c r="G16" i="33" s="1"/>
  <c r="G17" i="33" s="1"/>
  <c r="G20" i="33" s="1"/>
  <c r="D39" i="26"/>
  <c r="D11" i="41" s="1"/>
  <c r="F39" i="26"/>
  <c r="G11" i="41" s="1"/>
  <c r="E27" i="26"/>
  <c r="E29" i="26" s="1"/>
  <c r="F50" i="26"/>
  <c r="F24" i="26"/>
  <c r="E50" i="26"/>
  <c r="D50" i="26"/>
  <c r="F134" i="31"/>
  <c r="E16" i="33" s="1"/>
  <c r="E17" i="33" s="1"/>
  <c r="E20" i="33" s="1"/>
  <c r="E20" i="26"/>
  <c r="H50" i="26"/>
  <c r="E39" i="26"/>
  <c r="F11" i="41" s="1"/>
  <c r="H39" i="26"/>
  <c r="H41" i="26" s="1"/>
  <c r="I134" i="31"/>
  <c r="H16" i="33" s="1"/>
  <c r="H17" i="33" s="1"/>
  <c r="H20" i="33" s="1"/>
  <c r="G50" i="26"/>
  <c r="F64" i="26"/>
  <c r="F20" i="26"/>
  <c r="I169" i="31"/>
  <c r="F27" i="26"/>
  <c r="F29" i="26" s="1"/>
  <c r="E134" i="31"/>
  <c r="D16" i="33" s="1"/>
  <c r="D17" i="33" s="1"/>
  <c r="D20" i="33" s="1"/>
  <c r="H20" i="26"/>
  <c r="D20" i="26"/>
  <c r="G30" i="27" l="1"/>
  <c r="F167" i="27"/>
  <c r="E30" i="27"/>
  <c r="E36" i="27" s="1"/>
  <c r="F168" i="27"/>
  <c r="H32" i="27"/>
  <c r="H190" i="27" s="1"/>
  <c r="I14" i="27"/>
  <c r="H169" i="31"/>
  <c r="G19" i="31"/>
  <c r="M18" i="31"/>
  <c r="M48" i="31"/>
  <c r="F11" i="53"/>
  <c r="F15" i="53"/>
  <c r="E187" i="31"/>
  <c r="F41" i="26"/>
  <c r="F12" i="53"/>
  <c r="E187" i="27"/>
  <c r="M24" i="27"/>
  <c r="G23" i="31"/>
  <c r="G34" i="31"/>
  <c r="G22" i="31"/>
  <c r="I19" i="31"/>
  <c r="G29" i="31"/>
  <c r="D41" i="26"/>
  <c r="D43" i="26" s="1"/>
  <c r="D71" i="26" s="1"/>
  <c r="F19" i="31"/>
  <c r="M8" i="29"/>
  <c r="M14" i="29" s="1"/>
  <c r="M37" i="29" s="1"/>
  <c r="E65" i="29"/>
  <c r="O72" i="29" s="1"/>
  <c r="D65" i="29"/>
  <c r="R71" i="29" s="1"/>
  <c r="I32" i="27"/>
  <c r="I190" i="27" s="1"/>
  <c r="G38" i="27"/>
  <c r="I30" i="27"/>
  <c r="I150" i="27" s="1"/>
  <c r="G189" i="27"/>
  <c r="I31" i="27"/>
  <c r="I171" i="27" s="1"/>
  <c r="K173" i="27"/>
  <c r="K172" i="27"/>
  <c r="J14" i="27"/>
  <c r="J19" i="31" s="1"/>
  <c r="K30" i="27"/>
  <c r="K152" i="27" s="1"/>
  <c r="K14" i="27"/>
  <c r="K19" i="31" s="1"/>
  <c r="K35" i="27"/>
  <c r="J30" i="27"/>
  <c r="J152" i="27" s="1"/>
  <c r="J19" i="41"/>
  <c r="M147" i="31"/>
  <c r="K32" i="27"/>
  <c r="J31" i="27"/>
  <c r="J172" i="27" s="1"/>
  <c r="K37" i="27"/>
  <c r="F71" i="29"/>
  <c r="I19" i="41"/>
  <c r="I55" i="26"/>
  <c r="L55" i="26"/>
  <c r="L56" i="26" s="1"/>
  <c r="L19" i="41"/>
  <c r="Q11" i="31"/>
  <c r="Q11" i="27" s="1"/>
  <c r="K29" i="31"/>
  <c r="L29" i="31" s="1"/>
  <c r="N35" i="27"/>
  <c r="E21" i="53"/>
  <c r="R10" i="27"/>
  <c r="R29" i="27" s="1"/>
  <c r="N78" i="31"/>
  <c r="N111" i="31" s="1"/>
  <c r="F23" i="53"/>
  <c r="D77" i="6"/>
  <c r="E22" i="31"/>
  <c r="E23" i="31"/>
  <c r="F31" i="35"/>
  <c r="J29" i="31"/>
  <c r="E66" i="29"/>
  <c r="P110" i="29" s="1"/>
  <c r="I65" i="29"/>
  <c r="E76" i="29" s="1"/>
  <c r="N11" i="54"/>
  <c r="F26" i="31"/>
  <c r="P125" i="31"/>
  <c r="P127" i="31" s="1"/>
  <c r="N45" i="29"/>
  <c r="P14" i="31"/>
  <c r="M12" i="27"/>
  <c r="M14" i="27" s="1"/>
  <c r="M19" i="31" s="1"/>
  <c r="M20" i="27"/>
  <c r="M12" i="54"/>
  <c r="M13" i="54" s="1"/>
  <c r="M150" i="31"/>
  <c r="Q52" i="29"/>
  <c r="R52" i="29"/>
  <c r="O18" i="54"/>
  <c r="O48" i="31"/>
  <c r="O20" i="27" s="1"/>
  <c r="E140" i="31"/>
  <c r="E164" i="31"/>
  <c r="E11" i="41"/>
  <c r="G18" i="41"/>
  <c r="H140" i="31"/>
  <c r="F139" i="31"/>
  <c r="F169" i="31"/>
  <c r="G187" i="31"/>
  <c r="G169" i="31"/>
  <c r="E139" i="31"/>
  <c r="E169" i="31"/>
  <c r="N9" i="33"/>
  <c r="N12" i="26" s="1"/>
  <c r="O35" i="27"/>
  <c r="O71" i="29"/>
  <c r="D71" i="29"/>
  <c r="I130" i="27"/>
  <c r="I35" i="27"/>
  <c r="N71" i="29"/>
  <c r="Q71" i="29"/>
  <c r="F35" i="27"/>
  <c r="L71" i="29"/>
  <c r="F19" i="29"/>
  <c r="F61" i="29" s="1"/>
  <c r="F67" i="29" s="1"/>
  <c r="H67" i="29"/>
  <c r="O93" i="29" s="1"/>
  <c r="E35" i="27"/>
  <c r="E126" i="27"/>
  <c r="L30" i="27"/>
  <c r="G128" i="27"/>
  <c r="M9" i="33"/>
  <c r="M12" i="26" s="1"/>
  <c r="N25" i="27"/>
  <c r="N31" i="27"/>
  <c r="N37" i="27" s="1"/>
  <c r="P137" i="27"/>
  <c r="P35" i="27"/>
  <c r="H189" i="27"/>
  <c r="M31" i="27"/>
  <c r="F65" i="29"/>
  <c r="F73" i="29" s="1"/>
  <c r="H129" i="27"/>
  <c r="H66" i="29"/>
  <c r="L113" i="29" s="1"/>
  <c r="H38" i="27"/>
  <c r="N38" i="26"/>
  <c r="D67" i="29"/>
  <c r="G89" i="29" s="1"/>
  <c r="N113" i="31"/>
  <c r="H37" i="27"/>
  <c r="H170" i="27"/>
  <c r="E38" i="27"/>
  <c r="N44" i="31"/>
  <c r="N18" i="27" s="1"/>
  <c r="N24" i="27" s="1"/>
  <c r="L35" i="27"/>
  <c r="L133" i="27"/>
  <c r="L25" i="27"/>
  <c r="L31" i="27"/>
  <c r="F36" i="27"/>
  <c r="F148" i="27"/>
  <c r="F147" i="27"/>
  <c r="I37" i="27"/>
  <c r="O19" i="27"/>
  <c r="M134" i="27"/>
  <c r="M35" i="27"/>
  <c r="J35" i="27"/>
  <c r="J131" i="27"/>
  <c r="H65" i="29"/>
  <c r="F18" i="41"/>
  <c r="Q72" i="29"/>
  <c r="H11" i="41"/>
  <c r="F37" i="29"/>
  <c r="F27" i="29"/>
  <c r="F34" i="29"/>
  <c r="J32" i="6"/>
  <c r="F77" i="6"/>
  <c r="H23" i="53"/>
  <c r="L19" i="31"/>
  <c r="O76" i="31"/>
  <c r="O109" i="31" s="1"/>
  <c r="F187" i="27"/>
  <c r="F188" i="27"/>
  <c r="F38" i="27"/>
  <c r="G148" i="27"/>
  <c r="G149" i="27"/>
  <c r="G36" i="27"/>
  <c r="G39" i="27" s="1"/>
  <c r="H29" i="31"/>
  <c r="H33" i="31"/>
  <c r="H22" i="31" s="1"/>
  <c r="P32" i="31"/>
  <c r="K48" i="29"/>
  <c r="R24" i="29"/>
  <c r="K33" i="29"/>
  <c r="K34" i="29" s="1"/>
  <c r="K11" i="29"/>
  <c r="K12" i="29" s="1"/>
  <c r="K59" i="29" s="1"/>
  <c r="K65" i="29" s="1"/>
  <c r="K26" i="29"/>
  <c r="K54" i="29"/>
  <c r="K55" i="29" s="1"/>
  <c r="N13" i="27"/>
  <c r="E31" i="35"/>
  <c r="O31" i="29"/>
  <c r="H150" i="27"/>
  <c r="H36" i="27"/>
  <c r="H149" i="27"/>
  <c r="Q80" i="31"/>
  <c r="N12" i="27"/>
  <c r="N18" i="31"/>
  <c r="Q138" i="27"/>
  <c r="Q35" i="27"/>
  <c r="O44" i="31"/>
  <c r="O18" i="27" s="1"/>
  <c r="E146" i="27"/>
  <c r="E147" i="27"/>
  <c r="N147" i="31"/>
  <c r="L47" i="29"/>
  <c r="S17" i="27"/>
  <c r="T17" i="27"/>
  <c r="J23" i="31"/>
  <c r="J34" i="31"/>
  <c r="E67" i="29"/>
  <c r="H74" i="29"/>
  <c r="O74" i="29"/>
  <c r="E74" i="29"/>
  <c r="F74" i="29"/>
  <c r="G74" i="29"/>
  <c r="L74" i="29"/>
  <c r="J74" i="29"/>
  <c r="I74" i="29"/>
  <c r="D74" i="29"/>
  <c r="Q74" i="29"/>
  <c r="R74" i="29"/>
  <c r="M74" i="29"/>
  <c r="N74" i="29"/>
  <c r="P74" i="29"/>
  <c r="K74" i="29"/>
  <c r="Q159" i="31"/>
  <c r="N8" i="29"/>
  <c r="N14" i="29" s="1"/>
  <c r="N37" i="29" s="1"/>
  <c r="M24" i="41"/>
  <c r="N26" i="27"/>
  <c r="I31" i="35"/>
  <c r="P11" i="27"/>
  <c r="E23" i="53"/>
  <c r="C77" i="6"/>
  <c r="L32" i="27"/>
  <c r="L26" i="27"/>
  <c r="M36" i="27"/>
  <c r="M154" i="27"/>
  <c r="M155" i="27"/>
  <c r="J26" i="29"/>
  <c r="J11" i="29"/>
  <c r="J12" i="29" s="1"/>
  <c r="J59" i="29" s="1"/>
  <c r="J65" i="29" s="1"/>
  <c r="J54" i="29"/>
  <c r="J33" i="29"/>
  <c r="J34" i="29" s="1"/>
  <c r="J192" i="27"/>
  <c r="J191" i="27"/>
  <c r="J38" i="27"/>
  <c r="E167" i="27"/>
  <c r="E166" i="27"/>
  <c r="E37" i="27"/>
  <c r="R23" i="27"/>
  <c r="D66" i="29"/>
  <c r="F41" i="35"/>
  <c r="F208" i="31" s="1"/>
  <c r="F164" i="31"/>
  <c r="E41" i="26"/>
  <c r="H21" i="53"/>
  <c r="H139" i="31"/>
  <c r="H164" i="31"/>
  <c r="F21" i="53"/>
  <c r="F140" i="31"/>
  <c r="H187" i="31"/>
  <c r="F187" i="31"/>
  <c r="E18" i="41"/>
  <c r="G21" i="53"/>
  <c r="G140" i="31"/>
  <c r="G139" i="31"/>
  <c r="G164" i="31"/>
  <c r="E41" i="35"/>
  <c r="E208" i="31" s="1"/>
  <c r="E42" i="35"/>
  <c r="E209" i="31" s="1"/>
  <c r="E38" i="35"/>
  <c r="E205" i="31" s="1"/>
  <c r="E45" i="35"/>
  <c r="E212" i="31" s="1"/>
  <c r="E47" i="35"/>
  <c r="E214" i="31" s="1"/>
  <c r="E48" i="35"/>
  <c r="E215" i="31" s="1"/>
  <c r="D10" i="41"/>
  <c r="D12" i="41" s="1"/>
  <c r="D14" i="41" s="1"/>
  <c r="D16" i="41" s="1"/>
  <c r="E40" i="35"/>
  <c r="E207" i="31" s="1"/>
  <c r="E37" i="35"/>
  <c r="E204" i="31" s="1"/>
  <c r="E46" i="35"/>
  <c r="E213" i="31" s="1"/>
  <c r="E44" i="35"/>
  <c r="E211" i="31" s="1"/>
  <c r="E39" i="35"/>
  <c r="E206" i="31" s="1"/>
  <c r="E36" i="35"/>
  <c r="E203" i="31" s="1"/>
  <c r="E43" i="35"/>
  <c r="E210" i="31" s="1"/>
  <c r="E35" i="35"/>
  <c r="E202" i="31" s="1"/>
  <c r="I21" i="53"/>
  <c r="I164" i="31"/>
  <c r="I140" i="31"/>
  <c r="I139" i="31"/>
  <c r="I187" i="31"/>
  <c r="D60" i="26"/>
  <c r="I38" i="27" l="1"/>
  <c r="G66" i="29"/>
  <c r="L112" i="29" s="1"/>
  <c r="I170" i="27"/>
  <c r="G71" i="29"/>
  <c r="M71" i="29"/>
  <c r="J36" i="27"/>
  <c r="H71" i="29"/>
  <c r="I71" i="29"/>
  <c r="I191" i="27"/>
  <c r="K71" i="29"/>
  <c r="J71" i="29"/>
  <c r="P71" i="29"/>
  <c r="E71" i="29"/>
  <c r="M72" i="29"/>
  <c r="J72" i="29"/>
  <c r="F72" i="29"/>
  <c r="L153" i="27"/>
  <c r="L36" i="27"/>
  <c r="N89" i="29"/>
  <c r="G110" i="29"/>
  <c r="N110" i="29"/>
  <c r="J110" i="29"/>
  <c r="I151" i="27"/>
  <c r="I36" i="27"/>
  <c r="I39" i="27" s="1"/>
  <c r="H72" i="29"/>
  <c r="E72" i="29"/>
  <c r="N72" i="29"/>
  <c r="G72" i="29"/>
  <c r="E110" i="29"/>
  <c r="L72" i="29"/>
  <c r="I72" i="29"/>
  <c r="K72" i="29"/>
  <c r="D72" i="29"/>
  <c r="O110" i="29"/>
  <c r="H110" i="29"/>
  <c r="G67" i="29"/>
  <c r="E92" i="29" s="1"/>
  <c r="L73" i="29"/>
  <c r="P72" i="29"/>
  <c r="R72" i="29"/>
  <c r="L110" i="29"/>
  <c r="K110" i="29"/>
  <c r="I66" i="29"/>
  <c r="D114" i="29" s="1"/>
  <c r="K192" i="27"/>
  <c r="K193" i="27"/>
  <c r="I67" i="29"/>
  <c r="L94" i="29" s="1"/>
  <c r="K153" i="27"/>
  <c r="K36" i="27"/>
  <c r="R110" i="29"/>
  <c r="M110" i="29"/>
  <c r="M73" i="29"/>
  <c r="J151" i="27"/>
  <c r="J171" i="27"/>
  <c r="I76" i="29"/>
  <c r="I135" i="29" s="1"/>
  <c r="I147" i="29" s="1"/>
  <c r="M76" i="29"/>
  <c r="K76" i="29"/>
  <c r="H76" i="29"/>
  <c r="J37" i="27"/>
  <c r="R93" i="29"/>
  <c r="J76" i="29"/>
  <c r="O76" i="29"/>
  <c r="N76" i="29"/>
  <c r="G76" i="29"/>
  <c r="K33" i="31"/>
  <c r="K22" i="31" s="1"/>
  <c r="K38" i="27"/>
  <c r="P93" i="29"/>
  <c r="F76" i="29"/>
  <c r="R76" i="29"/>
  <c r="M55" i="26"/>
  <c r="M56" i="26" s="1"/>
  <c r="M19" i="41"/>
  <c r="Q14" i="31"/>
  <c r="Q12" i="27" s="1"/>
  <c r="O45" i="29"/>
  <c r="O11" i="54"/>
  <c r="O12" i="54" s="1"/>
  <c r="O13" i="54" s="1"/>
  <c r="O19" i="41" s="1"/>
  <c r="Q73" i="29"/>
  <c r="Q110" i="29"/>
  <c r="F110" i="29"/>
  <c r="D110" i="29"/>
  <c r="I110" i="29"/>
  <c r="P12" i="27"/>
  <c r="P48" i="31"/>
  <c r="P20" i="27" s="1"/>
  <c r="L76" i="29"/>
  <c r="D76" i="29"/>
  <c r="Q76" i="29"/>
  <c r="P76" i="29"/>
  <c r="S10" i="27"/>
  <c r="S29" i="27" s="1"/>
  <c r="T10" i="27"/>
  <c r="T29" i="27" s="1"/>
  <c r="M26" i="27"/>
  <c r="M32" i="27"/>
  <c r="F33" i="31"/>
  <c r="F22" i="31" s="1"/>
  <c r="F29" i="31"/>
  <c r="F113" i="29"/>
  <c r="N14" i="27"/>
  <c r="N19" i="31" s="1"/>
  <c r="F92" i="29"/>
  <c r="K93" i="29"/>
  <c r="O26" i="27"/>
  <c r="O32" i="27"/>
  <c r="P18" i="54"/>
  <c r="N150" i="31"/>
  <c r="Q125" i="31"/>
  <c r="Q127" i="31" s="1"/>
  <c r="P38" i="26" s="1"/>
  <c r="N12" i="54"/>
  <c r="N13" i="54" s="1"/>
  <c r="O78" i="31"/>
  <c r="O111" i="31" s="1"/>
  <c r="O91" i="29"/>
  <c r="H91" i="29"/>
  <c r="M91" i="29"/>
  <c r="D91" i="29"/>
  <c r="E91" i="29"/>
  <c r="Q91" i="29"/>
  <c r="P91" i="29"/>
  <c r="F91" i="29"/>
  <c r="H93" i="29"/>
  <c r="H156" i="29" s="1"/>
  <c r="L93" i="29"/>
  <c r="P113" i="29"/>
  <c r="D73" i="29"/>
  <c r="D93" i="29"/>
  <c r="G93" i="29"/>
  <c r="E93" i="29"/>
  <c r="J93" i="29"/>
  <c r="M93" i="29"/>
  <c r="I93" i="29"/>
  <c r="Q93" i="29"/>
  <c r="F93" i="29"/>
  <c r="N93" i="29"/>
  <c r="M113" i="29"/>
  <c r="Q113" i="29"/>
  <c r="L154" i="27"/>
  <c r="H39" i="27"/>
  <c r="P74" i="31"/>
  <c r="P107" i="31" s="1"/>
  <c r="O9" i="33" s="1"/>
  <c r="O12" i="26" s="1"/>
  <c r="I113" i="29"/>
  <c r="R113" i="29"/>
  <c r="J113" i="29"/>
  <c r="O38" i="26"/>
  <c r="N30" i="27"/>
  <c r="N156" i="27" s="1"/>
  <c r="R73" i="29"/>
  <c r="F39" i="27"/>
  <c r="M174" i="27"/>
  <c r="M37" i="27"/>
  <c r="K113" i="29"/>
  <c r="O73" i="29"/>
  <c r="G73" i="29"/>
  <c r="P73" i="29"/>
  <c r="O113" i="31"/>
  <c r="O113" i="29"/>
  <c r="D113" i="29"/>
  <c r="E113" i="29"/>
  <c r="N91" i="29"/>
  <c r="K91" i="29"/>
  <c r="J91" i="29"/>
  <c r="G91" i="29"/>
  <c r="I73" i="29"/>
  <c r="H73" i="29"/>
  <c r="E73" i="29"/>
  <c r="M175" i="27"/>
  <c r="Q89" i="29"/>
  <c r="D89" i="29"/>
  <c r="E89" i="29"/>
  <c r="R89" i="29"/>
  <c r="I89" i="29"/>
  <c r="L89" i="29"/>
  <c r="J89" i="29"/>
  <c r="K89" i="29"/>
  <c r="P89" i="29"/>
  <c r="O89" i="29"/>
  <c r="M89" i="29"/>
  <c r="F89" i="29"/>
  <c r="N176" i="27"/>
  <c r="N174" i="27"/>
  <c r="N113" i="29"/>
  <c r="G113" i="29"/>
  <c r="H113" i="29"/>
  <c r="H176" i="29" s="1"/>
  <c r="I91" i="29"/>
  <c r="L91" i="29"/>
  <c r="R91" i="29"/>
  <c r="J73" i="29"/>
  <c r="K73" i="29"/>
  <c r="N73" i="29"/>
  <c r="N175" i="27"/>
  <c r="H89" i="29"/>
  <c r="F40" i="35"/>
  <c r="F207" i="31" s="1"/>
  <c r="E43" i="26"/>
  <c r="E71" i="26" s="1"/>
  <c r="P19" i="27"/>
  <c r="P25" i="27" s="1"/>
  <c r="N32" i="27"/>
  <c r="N196" i="27" s="1"/>
  <c r="E75" i="29"/>
  <c r="O75" i="29"/>
  <c r="R75" i="29"/>
  <c r="L75" i="29"/>
  <c r="J75" i="29"/>
  <c r="F75" i="29"/>
  <c r="M75" i="29"/>
  <c r="N75" i="29"/>
  <c r="I75" i="29"/>
  <c r="D75" i="29"/>
  <c r="G75" i="29"/>
  <c r="Q75" i="29"/>
  <c r="H75" i="29"/>
  <c r="H134" i="29" s="1"/>
  <c r="H147" i="29" s="1"/>
  <c r="K75" i="29"/>
  <c r="P75" i="29"/>
  <c r="O25" i="27"/>
  <c r="O31" i="27"/>
  <c r="L37" i="27"/>
  <c r="L173" i="27"/>
  <c r="L174" i="27"/>
  <c r="Q74" i="31"/>
  <c r="Q107" i="31" s="1"/>
  <c r="F109" i="29"/>
  <c r="E109" i="29"/>
  <c r="L109" i="29"/>
  <c r="Q109" i="29"/>
  <c r="R109" i="29"/>
  <c r="H109" i="29"/>
  <c r="N109" i="29"/>
  <c r="M109" i="29"/>
  <c r="P109" i="29"/>
  <c r="D109" i="29"/>
  <c r="J109" i="29"/>
  <c r="G109" i="29"/>
  <c r="K109" i="29"/>
  <c r="O109" i="29"/>
  <c r="I109" i="29"/>
  <c r="H18" i="41"/>
  <c r="R80" i="31"/>
  <c r="L33" i="31"/>
  <c r="L22" i="31" s="1"/>
  <c r="L54" i="29"/>
  <c r="L55" i="29" s="1"/>
  <c r="L26" i="29"/>
  <c r="L11" i="29"/>
  <c r="L12" i="29" s="1"/>
  <c r="L59" i="29" s="1"/>
  <c r="L65" i="29" s="1"/>
  <c r="L33" i="29"/>
  <c r="L34" i="29" s="1"/>
  <c r="P31" i="29"/>
  <c r="R11" i="31"/>
  <c r="K18" i="29"/>
  <c r="K19" i="29" s="1"/>
  <c r="K61" i="29" s="1"/>
  <c r="K67" i="29" s="1"/>
  <c r="K27" i="29"/>
  <c r="K40" i="29"/>
  <c r="K41" i="29" s="1"/>
  <c r="K60" i="29" s="1"/>
  <c r="N24" i="41"/>
  <c r="K90" i="29"/>
  <c r="I90" i="29"/>
  <c r="H90" i="29"/>
  <c r="R90" i="29"/>
  <c r="F90" i="29"/>
  <c r="G90" i="29"/>
  <c r="D90" i="29"/>
  <c r="M90" i="29"/>
  <c r="P90" i="29"/>
  <c r="O90" i="29"/>
  <c r="N90" i="29"/>
  <c r="J90" i="29"/>
  <c r="Q90" i="29"/>
  <c r="E90" i="29"/>
  <c r="L90" i="29"/>
  <c r="T23" i="27"/>
  <c r="O147" i="31"/>
  <c r="M47" i="29"/>
  <c r="E39" i="27"/>
  <c r="O18" i="31"/>
  <c r="O13" i="27"/>
  <c r="O14" i="27" s="1"/>
  <c r="P78" i="29"/>
  <c r="N78" i="29"/>
  <c r="G78" i="29"/>
  <c r="F78" i="29"/>
  <c r="I78" i="29"/>
  <c r="M78" i="29"/>
  <c r="Q78" i="29"/>
  <c r="E78" i="29"/>
  <c r="J78" i="29"/>
  <c r="L78" i="29"/>
  <c r="D78" i="29"/>
  <c r="K78" i="29"/>
  <c r="K137" i="29" s="1"/>
  <c r="K147" i="29" s="1"/>
  <c r="O78" i="29"/>
  <c r="R78" i="29"/>
  <c r="H78" i="29"/>
  <c r="J27" i="29"/>
  <c r="J18" i="29"/>
  <c r="J19" i="29" s="1"/>
  <c r="J61" i="29" s="1"/>
  <c r="J67" i="29" s="1"/>
  <c r="L38" i="27"/>
  <c r="L194" i="27"/>
  <c r="L193" i="27"/>
  <c r="R159" i="31"/>
  <c r="O8" i="29"/>
  <c r="O14" i="29" s="1"/>
  <c r="O37" i="29" s="1"/>
  <c r="L48" i="29"/>
  <c r="O24" i="27"/>
  <c r="O30" i="27"/>
  <c r="P76" i="31"/>
  <c r="P109" i="31" s="1"/>
  <c r="K32" i="6"/>
  <c r="M112" i="29"/>
  <c r="R112" i="29"/>
  <c r="Q112" i="29"/>
  <c r="O112" i="29"/>
  <c r="J112" i="29"/>
  <c r="H112" i="29"/>
  <c r="D112" i="29"/>
  <c r="F112" i="29"/>
  <c r="P112" i="29"/>
  <c r="K112" i="29"/>
  <c r="G112" i="29"/>
  <c r="G176" i="29" s="1"/>
  <c r="E112" i="29"/>
  <c r="J55" i="29"/>
  <c r="J40" i="29"/>
  <c r="J41" i="29" s="1"/>
  <c r="J60" i="29" s="1"/>
  <c r="J66" i="29" s="1"/>
  <c r="R35" i="27"/>
  <c r="R139" i="27"/>
  <c r="G77" i="29"/>
  <c r="J77" i="29"/>
  <c r="J136" i="29" s="1"/>
  <c r="J147" i="29" s="1"/>
  <c r="H77" i="29"/>
  <c r="L77" i="29"/>
  <c r="Q77" i="29"/>
  <c r="P77" i="29"/>
  <c r="K77" i="29"/>
  <c r="D77" i="29"/>
  <c r="F77" i="29"/>
  <c r="M77" i="29"/>
  <c r="I77" i="29"/>
  <c r="E77" i="29"/>
  <c r="O77" i="29"/>
  <c r="R77" i="29"/>
  <c r="N77" i="29"/>
  <c r="S23" i="27"/>
  <c r="P44" i="31"/>
  <c r="P18" i="27" s="1"/>
  <c r="D18" i="41"/>
  <c r="D20" i="41" s="1"/>
  <c r="D22" i="41" s="1"/>
  <c r="Q32" i="31"/>
  <c r="H23" i="31"/>
  <c r="H34" i="31"/>
  <c r="F55" i="29"/>
  <c r="F48" i="29"/>
  <c r="F41" i="29"/>
  <c r="F60" i="29" s="1"/>
  <c r="F66" i="29" s="1"/>
  <c r="E60" i="26"/>
  <c r="F38" i="35"/>
  <c r="F205" i="31" s="1"/>
  <c r="F43" i="35"/>
  <c r="F210" i="31" s="1"/>
  <c r="E10" i="41"/>
  <c r="E12" i="41" s="1"/>
  <c r="E14" i="41" s="1"/>
  <c r="E16" i="41" s="1"/>
  <c r="E20" i="41" s="1"/>
  <c r="E22" i="41" s="1"/>
  <c r="F35" i="35"/>
  <c r="F202" i="31" s="1"/>
  <c r="F44" i="35"/>
  <c r="F211" i="31" s="1"/>
  <c r="F47" i="35"/>
  <c r="F214" i="31" s="1"/>
  <c r="F45" i="35"/>
  <c r="F212" i="31" s="1"/>
  <c r="F37" i="35"/>
  <c r="F204" i="31" s="1"/>
  <c r="F36" i="35"/>
  <c r="F203" i="31" s="1"/>
  <c r="F42" i="35"/>
  <c r="F209" i="31" s="1"/>
  <c r="F46" i="35"/>
  <c r="F213" i="31" s="1"/>
  <c r="F39" i="35"/>
  <c r="F206" i="31" s="1"/>
  <c r="F48" i="35"/>
  <c r="F215" i="31" s="1"/>
  <c r="H36" i="35"/>
  <c r="H203" i="31" s="1"/>
  <c r="H37" i="35"/>
  <c r="H204" i="31" s="1"/>
  <c r="H47" i="35"/>
  <c r="H214" i="31" s="1"/>
  <c r="H44" i="35"/>
  <c r="H211" i="31" s="1"/>
  <c r="H46" i="35"/>
  <c r="H213" i="31" s="1"/>
  <c r="H41" i="35"/>
  <c r="H208" i="31" s="1"/>
  <c r="H35" i="35"/>
  <c r="H202" i="31" s="1"/>
  <c r="G43" i="26"/>
  <c r="G71" i="26" s="1"/>
  <c r="H40" i="35"/>
  <c r="H207" i="31" s="1"/>
  <c r="H43" i="35"/>
  <c r="H210" i="31" s="1"/>
  <c r="H45" i="35"/>
  <c r="H212" i="31" s="1"/>
  <c r="H39" i="35"/>
  <c r="H206" i="31" s="1"/>
  <c r="G10" i="41"/>
  <c r="G12" i="41" s="1"/>
  <c r="G14" i="41" s="1"/>
  <c r="G16" i="41" s="1"/>
  <c r="G20" i="41" s="1"/>
  <c r="G22" i="41" s="1"/>
  <c r="H48" i="35"/>
  <c r="H215" i="31" s="1"/>
  <c r="H38" i="35"/>
  <c r="H205" i="31" s="1"/>
  <c r="H42" i="35"/>
  <c r="H209" i="31" s="1"/>
  <c r="G60" i="26"/>
  <c r="I37" i="35"/>
  <c r="I41" i="35"/>
  <c r="I43" i="35"/>
  <c r="I46" i="35"/>
  <c r="I35" i="35"/>
  <c r="I45" i="35"/>
  <c r="I47" i="35"/>
  <c r="I38" i="35"/>
  <c r="H75" i="26"/>
  <c r="I39" i="35"/>
  <c r="I40" i="35"/>
  <c r="I48" i="35"/>
  <c r="I42" i="35"/>
  <c r="H43" i="26"/>
  <c r="H44" i="26" s="1"/>
  <c r="H10" i="41"/>
  <c r="H12" i="41" s="1"/>
  <c r="H14" i="41" s="1"/>
  <c r="H16" i="41" s="1"/>
  <c r="I44" i="35"/>
  <c r="I36" i="35"/>
  <c r="H60" i="26"/>
  <c r="D44" i="26"/>
  <c r="D77" i="26"/>
  <c r="D83" i="26" s="1"/>
  <c r="F60" i="26"/>
  <c r="G48" i="35"/>
  <c r="G215" i="31" s="1"/>
  <c r="F10" i="41"/>
  <c r="F12" i="41" s="1"/>
  <c r="F14" i="41" s="1"/>
  <c r="F16" i="41" s="1"/>
  <c r="F20" i="41" s="1"/>
  <c r="F22" i="41" s="1"/>
  <c r="G43" i="35"/>
  <c r="G210" i="31" s="1"/>
  <c r="G36" i="35"/>
  <c r="G203" i="31" s="1"/>
  <c r="G39" i="35"/>
  <c r="G206" i="31" s="1"/>
  <c r="G47" i="35"/>
  <c r="G214" i="31" s="1"/>
  <c r="G45" i="35"/>
  <c r="G212" i="31" s="1"/>
  <c r="G40" i="35"/>
  <c r="G207" i="31" s="1"/>
  <c r="G44" i="35"/>
  <c r="G211" i="31" s="1"/>
  <c r="G42" i="35"/>
  <c r="G209" i="31" s="1"/>
  <c r="F43" i="26"/>
  <c r="F71" i="26" s="1"/>
  <c r="G37" i="35"/>
  <c r="G204" i="31" s="1"/>
  <c r="G46" i="35"/>
  <c r="G213" i="31" s="1"/>
  <c r="G41" i="35"/>
  <c r="G208" i="31" s="1"/>
  <c r="G38" i="35"/>
  <c r="G205" i="31" s="1"/>
  <c r="G35" i="35"/>
  <c r="G202" i="31" s="1"/>
  <c r="N112" i="29" l="1"/>
  <c r="I112" i="29"/>
  <c r="J39" i="27"/>
  <c r="G155" i="29"/>
  <c r="I13" i="33"/>
  <c r="H92" i="29"/>
  <c r="D92" i="29"/>
  <c r="P92" i="29"/>
  <c r="L92" i="29"/>
  <c r="I92" i="29"/>
  <c r="N92" i="29"/>
  <c r="R92" i="29"/>
  <c r="K92" i="29"/>
  <c r="J92" i="29"/>
  <c r="Q92" i="29"/>
  <c r="O92" i="29"/>
  <c r="M92" i="29"/>
  <c r="G92" i="29"/>
  <c r="P31" i="27"/>
  <c r="P178" i="27" s="1"/>
  <c r="K114" i="29"/>
  <c r="H114" i="29"/>
  <c r="H177" i="29" s="1"/>
  <c r="P114" i="29"/>
  <c r="E114" i="29"/>
  <c r="R114" i="29"/>
  <c r="M114" i="29"/>
  <c r="N114" i="29"/>
  <c r="Q114" i="29"/>
  <c r="L114" i="29"/>
  <c r="G114" i="29"/>
  <c r="O114" i="29"/>
  <c r="J94" i="29"/>
  <c r="I114" i="29"/>
  <c r="I177" i="29" s="1"/>
  <c r="F114" i="29"/>
  <c r="J114" i="29"/>
  <c r="O94" i="29"/>
  <c r="G94" i="29"/>
  <c r="N94" i="29"/>
  <c r="P94" i="29"/>
  <c r="F94" i="29"/>
  <c r="R94" i="29"/>
  <c r="K94" i="29"/>
  <c r="E94" i="29"/>
  <c r="Q94" i="29"/>
  <c r="H94" i="29"/>
  <c r="M94" i="29"/>
  <c r="D94" i="29"/>
  <c r="I94" i="29"/>
  <c r="I156" i="29" s="1"/>
  <c r="I168" i="29" s="1"/>
  <c r="K39" i="27"/>
  <c r="K23" i="31"/>
  <c r="K34" i="31"/>
  <c r="O55" i="26"/>
  <c r="O56" i="26" s="1"/>
  <c r="J13" i="33"/>
  <c r="K66" i="29"/>
  <c r="F116" i="29" s="1"/>
  <c r="R125" i="31"/>
  <c r="R127" i="31" s="1"/>
  <c r="Q18" i="54"/>
  <c r="P11" i="54"/>
  <c r="Q48" i="31"/>
  <c r="Q20" i="27" s="1"/>
  <c r="P78" i="31"/>
  <c r="P111" i="31" s="1"/>
  <c r="F23" i="31"/>
  <c r="F34" i="31"/>
  <c r="P9" i="33"/>
  <c r="P12" i="26" s="1"/>
  <c r="N19" i="41"/>
  <c r="N55" i="26"/>
  <c r="N56" i="26" s="1"/>
  <c r="O38" i="27"/>
  <c r="O196" i="27"/>
  <c r="O197" i="27"/>
  <c r="M16" i="33"/>
  <c r="M195" i="27"/>
  <c r="M38" i="27"/>
  <c r="M39" i="27" s="1"/>
  <c r="M194" i="27"/>
  <c r="P32" i="27"/>
  <c r="P26" i="27"/>
  <c r="R14" i="31"/>
  <c r="R12" i="27" s="1"/>
  <c r="P45" i="29"/>
  <c r="O150" i="31"/>
  <c r="G25" i="41"/>
  <c r="E25" i="41"/>
  <c r="F25" i="41"/>
  <c r="D25" i="41"/>
  <c r="H20" i="41"/>
  <c r="H22" i="41" s="1"/>
  <c r="H71" i="26"/>
  <c r="H155" i="29"/>
  <c r="L39" i="27"/>
  <c r="N155" i="27"/>
  <c r="M11" i="33" s="1"/>
  <c r="M14" i="26" s="1"/>
  <c r="N36" i="27"/>
  <c r="N195" i="27"/>
  <c r="M12" i="33"/>
  <c r="M15" i="26" s="1"/>
  <c r="P113" i="31"/>
  <c r="H189" i="29"/>
  <c r="L40" i="29"/>
  <c r="L41" i="29" s="1"/>
  <c r="L60" i="29" s="1"/>
  <c r="L66" i="29" s="1"/>
  <c r="E77" i="26"/>
  <c r="N38" i="27"/>
  <c r="N39" i="27" s="1"/>
  <c r="R74" i="31"/>
  <c r="R107" i="31" s="1"/>
  <c r="Q38" i="26"/>
  <c r="O177" i="27"/>
  <c r="O175" i="27"/>
  <c r="O176" i="27"/>
  <c r="N12" i="33" s="1"/>
  <c r="N15" i="26" s="1"/>
  <c r="O37" i="27"/>
  <c r="Q19" i="27"/>
  <c r="E44" i="26"/>
  <c r="Q31" i="29"/>
  <c r="S11" i="31"/>
  <c r="L23" i="31"/>
  <c r="L34" i="31"/>
  <c r="I111" i="29"/>
  <c r="R111" i="29"/>
  <c r="M111" i="29"/>
  <c r="N111" i="29"/>
  <c r="F111" i="29"/>
  <c r="K111" i="29"/>
  <c r="G111" i="29"/>
  <c r="H111" i="29"/>
  <c r="O111" i="29"/>
  <c r="D111" i="29"/>
  <c r="J111" i="29"/>
  <c r="E111" i="29"/>
  <c r="Q111" i="29"/>
  <c r="P111" i="29"/>
  <c r="L111" i="29"/>
  <c r="P24" i="27"/>
  <c r="P30" i="27"/>
  <c r="S159" i="31"/>
  <c r="P8" i="29"/>
  <c r="P14" i="29" s="1"/>
  <c r="P37" i="29" s="1"/>
  <c r="O19" i="31"/>
  <c r="P147" i="31"/>
  <c r="N47" i="29"/>
  <c r="L27" i="29"/>
  <c r="L18" i="29"/>
  <c r="L19" i="29" s="1"/>
  <c r="L61" i="29" s="1"/>
  <c r="L67" i="29" s="1"/>
  <c r="T80" i="31"/>
  <c r="S80" i="31"/>
  <c r="Q44" i="31"/>
  <c r="Q18" i="27" s="1"/>
  <c r="P13" i="27"/>
  <c r="P14" i="27" s="1"/>
  <c r="P18" i="31"/>
  <c r="L32" i="6"/>
  <c r="M48" i="29"/>
  <c r="O24" i="41"/>
  <c r="M11" i="29"/>
  <c r="M12" i="29" s="1"/>
  <c r="M59" i="29" s="1"/>
  <c r="M65" i="29" s="1"/>
  <c r="M54" i="29"/>
  <c r="M55" i="29" s="1"/>
  <c r="M33" i="29"/>
  <c r="M34" i="29" s="1"/>
  <c r="M26" i="29"/>
  <c r="R11" i="27"/>
  <c r="N29" i="31"/>
  <c r="M33" i="31"/>
  <c r="M22" i="31" s="1"/>
  <c r="S35" i="27"/>
  <c r="S140" i="27"/>
  <c r="Q115" i="29"/>
  <c r="E115" i="29"/>
  <c r="K115" i="29"/>
  <c r="P115" i="29"/>
  <c r="R115" i="29"/>
  <c r="H115" i="29"/>
  <c r="G115" i="29"/>
  <c r="J115" i="29"/>
  <c r="J178" i="29" s="1"/>
  <c r="F115" i="29"/>
  <c r="O115" i="29"/>
  <c r="M115" i="29"/>
  <c r="L115" i="29"/>
  <c r="D115" i="29"/>
  <c r="N115" i="29"/>
  <c r="I115" i="29"/>
  <c r="I178" i="29" s="1"/>
  <c r="K96" i="29"/>
  <c r="N96" i="29"/>
  <c r="F96" i="29"/>
  <c r="J96" i="29"/>
  <c r="R96" i="29"/>
  <c r="M96" i="29"/>
  <c r="H96" i="29"/>
  <c r="G96" i="29"/>
  <c r="L96" i="29"/>
  <c r="Q96" i="29"/>
  <c r="P96" i="29"/>
  <c r="D96" i="29"/>
  <c r="E96" i="29"/>
  <c r="O96" i="29"/>
  <c r="I96" i="29"/>
  <c r="R32" i="31"/>
  <c r="Q76" i="31"/>
  <c r="Q109" i="31" s="1"/>
  <c r="O157" i="27"/>
  <c r="O156" i="27"/>
  <c r="O36" i="27"/>
  <c r="G95" i="29"/>
  <c r="F95" i="29"/>
  <c r="M95" i="29"/>
  <c r="H95" i="29"/>
  <c r="E95" i="29"/>
  <c r="D95" i="29"/>
  <c r="R95" i="29"/>
  <c r="Q95" i="29"/>
  <c r="N95" i="29"/>
  <c r="L95" i="29"/>
  <c r="O95" i="29"/>
  <c r="P95" i="29"/>
  <c r="K95" i="29"/>
  <c r="I95" i="29"/>
  <c r="J95" i="29"/>
  <c r="T141" i="27"/>
  <c r="T35" i="27"/>
  <c r="R79" i="29"/>
  <c r="J79" i="29"/>
  <c r="O79" i="29"/>
  <c r="F79" i="29"/>
  <c r="E79" i="29"/>
  <c r="G79" i="29"/>
  <c r="Q79" i="29"/>
  <c r="D79" i="29"/>
  <c r="L79" i="29"/>
  <c r="L138" i="29" s="1"/>
  <c r="L147" i="29" s="1"/>
  <c r="M32" i="26" s="1"/>
  <c r="H79" i="29"/>
  <c r="K79" i="29"/>
  <c r="M79" i="29"/>
  <c r="P79" i="29"/>
  <c r="I79" i="29"/>
  <c r="N79" i="29"/>
  <c r="G77" i="26"/>
  <c r="G83" i="26" s="1"/>
  <c r="G44" i="26"/>
  <c r="I207" i="31"/>
  <c r="I205" i="31"/>
  <c r="I213" i="31"/>
  <c r="F44" i="26"/>
  <c r="F77" i="26"/>
  <c r="F83" i="26" s="1"/>
  <c r="D78" i="26"/>
  <c r="E27" i="53"/>
  <c r="H77" i="26"/>
  <c r="H83" i="26" s="1"/>
  <c r="I214" i="31"/>
  <c r="I210" i="31"/>
  <c r="I203" i="31"/>
  <c r="I209" i="31"/>
  <c r="I206" i="31"/>
  <c r="I212" i="31"/>
  <c r="I208" i="31"/>
  <c r="D72" i="26"/>
  <c r="D74" i="26"/>
  <c r="D28" i="41"/>
  <c r="E28" i="53"/>
  <c r="I211" i="31"/>
  <c r="I215" i="31"/>
  <c r="I202" i="31"/>
  <c r="I204" i="31"/>
  <c r="H168" i="29" l="1"/>
  <c r="P37" i="27"/>
  <c r="P177" i="27"/>
  <c r="Q9" i="33"/>
  <c r="Q12" i="26" s="1"/>
  <c r="R116" i="29"/>
  <c r="R48" i="31"/>
  <c r="R20" i="27" s="1"/>
  <c r="R26" i="27" s="1"/>
  <c r="I189" i="29"/>
  <c r="I157" i="29"/>
  <c r="K13" i="33"/>
  <c r="N116" i="29"/>
  <c r="M116" i="29"/>
  <c r="O10" i="33"/>
  <c r="O13" i="26" s="1"/>
  <c r="Q116" i="29"/>
  <c r="J116" i="29"/>
  <c r="J179" i="29" s="1"/>
  <c r="D116" i="29"/>
  <c r="P116" i="29"/>
  <c r="O116" i="29"/>
  <c r="I116" i="29"/>
  <c r="G116" i="29"/>
  <c r="H116" i="29"/>
  <c r="L116" i="29"/>
  <c r="K116" i="29"/>
  <c r="K179" i="29" s="1"/>
  <c r="K189" i="29" s="1"/>
  <c r="E116" i="29"/>
  <c r="L117" i="29"/>
  <c r="L180" i="29" s="1"/>
  <c r="R117" i="29"/>
  <c r="O117" i="29"/>
  <c r="S14" i="31"/>
  <c r="S12" i="27" s="1"/>
  <c r="Q45" i="29"/>
  <c r="P198" i="27"/>
  <c r="P197" i="27"/>
  <c r="P38" i="27"/>
  <c r="N16" i="33"/>
  <c r="Q26" i="27"/>
  <c r="Q32" i="27"/>
  <c r="P12" i="54"/>
  <c r="P13" i="54" s="1"/>
  <c r="P150" i="31"/>
  <c r="Q11" i="54"/>
  <c r="Q12" i="54" s="1"/>
  <c r="Q13" i="54" s="1"/>
  <c r="Q55" i="26" s="1"/>
  <c r="Q56" i="26" s="1"/>
  <c r="S125" i="31"/>
  <c r="S127" i="31" s="1"/>
  <c r="Q78" i="31"/>
  <c r="Q111" i="31" s="1"/>
  <c r="S18" i="54"/>
  <c r="R18" i="54"/>
  <c r="H25" i="41"/>
  <c r="I39" i="26"/>
  <c r="I11" i="41" s="1"/>
  <c r="J189" i="29"/>
  <c r="K117" i="29"/>
  <c r="K180" i="29" s="1"/>
  <c r="H117" i="29"/>
  <c r="N10" i="33"/>
  <c r="N13" i="26" s="1"/>
  <c r="M10" i="33"/>
  <c r="O39" i="27"/>
  <c r="F117" i="29"/>
  <c r="I117" i="29"/>
  <c r="G117" i="29"/>
  <c r="O12" i="33"/>
  <c r="O15" i="26" s="1"/>
  <c r="Q113" i="31"/>
  <c r="Q117" i="29"/>
  <c r="M117" i="29"/>
  <c r="P117" i="29"/>
  <c r="D117" i="29"/>
  <c r="R19" i="27"/>
  <c r="R25" i="27" s="1"/>
  <c r="S74" i="31"/>
  <c r="S107" i="31" s="1"/>
  <c r="R38" i="26"/>
  <c r="E83" i="26"/>
  <c r="F27" i="53"/>
  <c r="E78" i="26"/>
  <c r="E117" i="29"/>
  <c r="J117" i="29"/>
  <c r="N117" i="29"/>
  <c r="Q25" i="27"/>
  <c r="Q31" i="27"/>
  <c r="F28" i="53"/>
  <c r="E74" i="26"/>
  <c r="E28" i="41"/>
  <c r="E72" i="26"/>
  <c r="R44" i="31"/>
  <c r="R18" i="27" s="1"/>
  <c r="M23" i="31"/>
  <c r="M34" i="31"/>
  <c r="M40" i="29"/>
  <c r="M41" i="29" s="1"/>
  <c r="M60" i="29" s="1"/>
  <c r="M66" i="29" s="1"/>
  <c r="M32" i="6"/>
  <c r="L13" i="33"/>
  <c r="D97" i="29"/>
  <c r="P97" i="29"/>
  <c r="R97" i="29"/>
  <c r="G97" i="29"/>
  <c r="H97" i="29"/>
  <c r="O97" i="29"/>
  <c r="F97" i="29"/>
  <c r="J97" i="29"/>
  <c r="M97" i="29"/>
  <c r="K97" i="29"/>
  <c r="L97" i="29"/>
  <c r="E97" i="29"/>
  <c r="Q97" i="29"/>
  <c r="N97" i="29"/>
  <c r="I97" i="29"/>
  <c r="R31" i="29"/>
  <c r="T11" i="31"/>
  <c r="R76" i="31"/>
  <c r="R109" i="31" s="1"/>
  <c r="N54" i="29"/>
  <c r="N55" i="29" s="1"/>
  <c r="N33" i="29"/>
  <c r="N34" i="29" s="1"/>
  <c r="N26" i="29"/>
  <c r="N11" i="29"/>
  <c r="N12" i="29" s="1"/>
  <c r="N59" i="29" s="1"/>
  <c r="N65" i="29" s="1"/>
  <c r="Q13" i="27"/>
  <c r="Q14" i="27" s="1"/>
  <c r="Q18" i="31"/>
  <c r="Q147" i="31"/>
  <c r="O47" i="29"/>
  <c r="N33" i="31"/>
  <c r="N23" i="31" s="1"/>
  <c r="O26" i="31"/>
  <c r="O29" i="31" s="1"/>
  <c r="R80" i="29"/>
  <c r="K80" i="29"/>
  <c r="P80" i="29"/>
  <c r="O80" i="29"/>
  <c r="N80" i="29"/>
  <c r="J80" i="29"/>
  <c r="F80" i="29"/>
  <c r="G80" i="29"/>
  <c r="H80" i="29"/>
  <c r="L80" i="29"/>
  <c r="E80" i="29"/>
  <c r="M80" i="29"/>
  <c r="M139" i="29" s="1"/>
  <c r="M147" i="29" s="1"/>
  <c r="N32" i="26" s="1"/>
  <c r="I80" i="29"/>
  <c r="Q80" i="29"/>
  <c r="D80" i="29"/>
  <c r="P19" i="31"/>
  <c r="N48" i="29"/>
  <c r="T159" i="31"/>
  <c r="R8" i="29" s="1"/>
  <c r="R14" i="29" s="1"/>
  <c r="R37" i="29" s="1"/>
  <c r="Q8" i="29"/>
  <c r="Q14" i="29" s="1"/>
  <c r="Q37" i="29" s="1"/>
  <c r="P157" i="27"/>
  <c r="O11" i="33" s="1"/>
  <c r="P36" i="27"/>
  <c r="P39" i="27" s="1"/>
  <c r="P158" i="27"/>
  <c r="S11" i="27"/>
  <c r="J157" i="29"/>
  <c r="J158" i="29"/>
  <c r="N11" i="33"/>
  <c r="S32" i="31"/>
  <c r="T32" i="31"/>
  <c r="K159" i="29"/>
  <c r="K158" i="29"/>
  <c r="M18" i="29"/>
  <c r="M19" i="29" s="1"/>
  <c r="M61" i="29" s="1"/>
  <c r="M67" i="29" s="1"/>
  <c r="M27" i="29"/>
  <c r="P24" i="41"/>
  <c r="Q24" i="27"/>
  <c r="Q30" i="27"/>
  <c r="G78" i="26"/>
  <c r="H27" i="53"/>
  <c r="G72" i="26"/>
  <c r="G28" i="41"/>
  <c r="G74" i="26"/>
  <c r="H28" i="53"/>
  <c r="H78" i="26"/>
  <c r="I27" i="53"/>
  <c r="D75" i="26"/>
  <c r="F174" i="31"/>
  <c r="H28" i="41"/>
  <c r="I28" i="53"/>
  <c r="H72" i="26"/>
  <c r="D85" i="26"/>
  <c r="E197" i="31"/>
  <c r="G27" i="53"/>
  <c r="F78" i="26"/>
  <c r="F74" i="26"/>
  <c r="G28" i="53"/>
  <c r="F72" i="26"/>
  <c r="F28" i="41"/>
  <c r="N22" i="31" l="1"/>
  <c r="L189" i="29"/>
  <c r="M33" i="26" s="1"/>
  <c r="R32" i="27"/>
  <c r="Q19" i="41"/>
  <c r="J168" i="29"/>
  <c r="J17" i="26"/>
  <c r="J27" i="26" s="1"/>
  <c r="J29" i="26" s="1"/>
  <c r="K37" i="35" s="1"/>
  <c r="R9" i="33"/>
  <c r="R12" i="26" s="1"/>
  <c r="P10" i="33"/>
  <c r="P13" i="26" s="1"/>
  <c r="P19" i="41"/>
  <c r="P55" i="26"/>
  <c r="P56" i="26" s="1"/>
  <c r="R200" i="27"/>
  <c r="R38" i="27"/>
  <c r="R199" i="27"/>
  <c r="O16" i="33"/>
  <c r="R11" i="54"/>
  <c r="R12" i="54" s="1"/>
  <c r="R13" i="54" s="1"/>
  <c r="R19" i="41" s="1"/>
  <c r="S11" i="54"/>
  <c r="S12" i="54" s="1"/>
  <c r="S13" i="54" s="1"/>
  <c r="S55" i="26" s="1"/>
  <c r="S56" i="26" s="1"/>
  <c r="T125" i="31"/>
  <c r="T127" i="31" s="1"/>
  <c r="Q38" i="27"/>
  <c r="Q198" i="27"/>
  <c r="Q199" i="27"/>
  <c r="R45" i="29"/>
  <c r="T14" i="31"/>
  <c r="T12" i="27" s="1"/>
  <c r="R78" i="31"/>
  <c r="R111" i="31" s="1"/>
  <c r="Q150" i="31"/>
  <c r="S48" i="31"/>
  <c r="S20" i="27" s="1"/>
  <c r="K168" i="29"/>
  <c r="M13" i="26"/>
  <c r="M36" i="26" s="1"/>
  <c r="M13" i="33"/>
  <c r="M17" i="33" s="1"/>
  <c r="M20" i="33" s="1"/>
  <c r="R31" i="27"/>
  <c r="R180" i="27" s="1"/>
  <c r="R113" i="31"/>
  <c r="O14" i="26"/>
  <c r="O36" i="26" s="1"/>
  <c r="O13" i="33"/>
  <c r="E85" i="26"/>
  <c r="F197" i="31"/>
  <c r="G174" i="31"/>
  <c r="E75" i="26"/>
  <c r="T74" i="31"/>
  <c r="T107" i="31" s="1"/>
  <c r="S38" i="26"/>
  <c r="T19" i="27"/>
  <c r="T25" i="27" s="1"/>
  <c r="S19" i="27"/>
  <c r="S25" i="27" s="1"/>
  <c r="Q179" i="27"/>
  <c r="Q37" i="27"/>
  <c r="Q178" i="27"/>
  <c r="P12" i="33" s="1"/>
  <c r="P15" i="26" s="1"/>
  <c r="N14" i="26"/>
  <c r="N36" i="26" s="1"/>
  <c r="N13" i="33"/>
  <c r="G81" i="29"/>
  <c r="E81" i="29"/>
  <c r="M81" i="29"/>
  <c r="P81" i="29"/>
  <c r="N81" i="29"/>
  <c r="N140" i="29" s="1"/>
  <c r="N147" i="29" s="1"/>
  <c r="O32" i="26" s="1"/>
  <c r="L81" i="29"/>
  <c r="J81" i="29"/>
  <c r="I81" i="29"/>
  <c r="H81" i="29"/>
  <c r="K81" i="29"/>
  <c r="Q81" i="29"/>
  <c r="F81" i="29"/>
  <c r="R81" i="29"/>
  <c r="O81" i="29"/>
  <c r="D81" i="29"/>
  <c r="T44" i="31"/>
  <c r="T18" i="27" s="1"/>
  <c r="S44" i="31"/>
  <c r="S18" i="27" s="1"/>
  <c r="N40" i="29"/>
  <c r="N41" i="29" s="1"/>
  <c r="N60" i="29" s="1"/>
  <c r="N66" i="29" s="1"/>
  <c r="N34" i="31"/>
  <c r="P47" i="29"/>
  <c r="R147" i="31"/>
  <c r="Q19" i="31"/>
  <c r="N18" i="29"/>
  <c r="N19" i="29" s="1"/>
  <c r="N61" i="29" s="1"/>
  <c r="N67" i="29" s="1"/>
  <c r="N27" i="29"/>
  <c r="P26" i="31"/>
  <c r="P29" i="31" s="1"/>
  <c r="O33" i="31"/>
  <c r="O48" i="29"/>
  <c r="S76" i="31"/>
  <c r="S109" i="31" s="1"/>
  <c r="T76" i="31"/>
  <c r="T109" i="31" s="1"/>
  <c r="O33" i="29"/>
  <c r="O34" i="29" s="1"/>
  <c r="O54" i="29"/>
  <c r="O55" i="29" s="1"/>
  <c r="O26" i="29"/>
  <c r="O11" i="29"/>
  <c r="O12" i="29" s="1"/>
  <c r="O59" i="29" s="1"/>
  <c r="O65" i="29" s="1"/>
  <c r="N32" i="6"/>
  <c r="Q24" i="41"/>
  <c r="Q159" i="27"/>
  <c r="Q36" i="27"/>
  <c r="Q158" i="27"/>
  <c r="O98" i="29"/>
  <c r="I98" i="29"/>
  <c r="M98" i="29"/>
  <c r="J98" i="29"/>
  <c r="Q98" i="29"/>
  <c r="D98" i="29"/>
  <c r="R98" i="29"/>
  <c r="L98" i="29"/>
  <c r="G98" i="29"/>
  <c r="P98" i="29"/>
  <c r="N98" i="29"/>
  <c r="H98" i="29"/>
  <c r="F98" i="29"/>
  <c r="K98" i="29"/>
  <c r="E98" i="29"/>
  <c r="R13" i="27"/>
  <c r="R14" i="27" s="1"/>
  <c r="R18" i="31"/>
  <c r="T11" i="27"/>
  <c r="L160" i="29"/>
  <c r="L159" i="29"/>
  <c r="L168" i="29" s="1"/>
  <c r="M35" i="26" s="1"/>
  <c r="M34" i="26" s="1"/>
  <c r="F118" i="29"/>
  <c r="I118" i="29"/>
  <c r="P118" i="29"/>
  <c r="N118" i="29"/>
  <c r="L118" i="29"/>
  <c r="L181" i="29" s="1"/>
  <c r="O118" i="29"/>
  <c r="D118" i="29"/>
  <c r="R118" i="29"/>
  <c r="K118" i="29"/>
  <c r="H118" i="29"/>
  <c r="Q118" i="29"/>
  <c r="M118" i="29"/>
  <c r="M181" i="29" s="1"/>
  <c r="G118" i="29"/>
  <c r="J118" i="29"/>
  <c r="E118" i="29"/>
  <c r="R30" i="27"/>
  <c r="R24" i="27"/>
  <c r="I174" i="31"/>
  <c r="G75" i="26"/>
  <c r="G85" i="26"/>
  <c r="H197" i="31"/>
  <c r="H174" i="31"/>
  <c r="F75" i="26"/>
  <c r="H85" i="26"/>
  <c r="I197" i="31"/>
  <c r="F85" i="26"/>
  <c r="G197" i="31"/>
  <c r="E22" i="53"/>
  <c r="D86" i="26"/>
  <c r="E24" i="53"/>
  <c r="S31" i="27" l="1"/>
  <c r="J20" i="26"/>
  <c r="K134" i="31"/>
  <c r="R179" i="27"/>
  <c r="Q12" i="33" s="1"/>
  <c r="Q15" i="26" s="1"/>
  <c r="O17" i="33"/>
  <c r="O20" i="33" s="1"/>
  <c r="S9" i="33"/>
  <c r="S12" i="26" s="1"/>
  <c r="J27" i="35"/>
  <c r="S19" i="41"/>
  <c r="R55" i="26"/>
  <c r="R56" i="26" s="1"/>
  <c r="R37" i="27"/>
  <c r="S32" i="27"/>
  <c r="S26" i="27"/>
  <c r="S78" i="31"/>
  <c r="S111" i="31" s="1"/>
  <c r="R10" i="33" s="1"/>
  <c r="R13" i="26" s="1"/>
  <c r="T78" i="31"/>
  <c r="T111" i="31" s="1"/>
  <c r="P16" i="33"/>
  <c r="R150" i="31"/>
  <c r="T48" i="31"/>
  <c r="T20" i="27" s="1"/>
  <c r="Q10" i="33"/>
  <c r="Q13" i="26" s="1"/>
  <c r="M39" i="26"/>
  <c r="Q39" i="27"/>
  <c r="T113" i="31"/>
  <c r="S113" i="31"/>
  <c r="O40" i="29"/>
  <c r="O41" i="29" s="1"/>
  <c r="O60" i="29" s="1"/>
  <c r="O66" i="29" s="1"/>
  <c r="N120" i="29" s="1"/>
  <c r="N183" i="29" s="1"/>
  <c r="F24" i="53"/>
  <c r="E86" i="26"/>
  <c r="F22" i="53"/>
  <c r="R19" i="31"/>
  <c r="M161" i="29"/>
  <c r="M160" i="29"/>
  <c r="M168" i="29" s="1"/>
  <c r="N35" i="26" s="1"/>
  <c r="N34" i="26" s="1"/>
  <c r="P82" i="29"/>
  <c r="M82" i="29"/>
  <c r="R82" i="29"/>
  <c r="K82" i="29"/>
  <c r="F82" i="29"/>
  <c r="L82" i="29"/>
  <c r="H82" i="29"/>
  <c r="G82" i="29"/>
  <c r="E82" i="29"/>
  <c r="J82" i="29"/>
  <c r="Q82" i="29"/>
  <c r="D82" i="29"/>
  <c r="O82" i="29"/>
  <c r="O141" i="29" s="1"/>
  <c r="O147" i="29" s="1"/>
  <c r="P32" i="26" s="1"/>
  <c r="N82" i="29"/>
  <c r="I82" i="29"/>
  <c r="O23" i="31"/>
  <c r="O34" i="31"/>
  <c r="Q119" i="29"/>
  <c r="L119" i="29"/>
  <c r="F119" i="29"/>
  <c r="K119" i="29"/>
  <c r="D119" i="29"/>
  <c r="O119" i="29"/>
  <c r="R119" i="29"/>
  <c r="J119" i="29"/>
  <c r="P119" i="29"/>
  <c r="M119" i="29"/>
  <c r="M182" i="29" s="1"/>
  <c r="H119" i="29"/>
  <c r="E119" i="29"/>
  <c r="N119" i="29"/>
  <c r="N182" i="29" s="1"/>
  <c r="G119" i="29"/>
  <c r="I119" i="29"/>
  <c r="S30" i="27"/>
  <c r="S24" i="27"/>
  <c r="S13" i="27"/>
  <c r="S14" i="27" s="1"/>
  <c r="S18" i="31"/>
  <c r="O27" i="29"/>
  <c r="O18" i="29"/>
  <c r="O19" i="29" s="1"/>
  <c r="O61" i="29" s="1"/>
  <c r="O67" i="29" s="1"/>
  <c r="T24" i="27"/>
  <c r="T30" i="27"/>
  <c r="M189" i="29"/>
  <c r="N33" i="26" s="1"/>
  <c r="P11" i="33"/>
  <c r="O32" i="6"/>
  <c r="P26" i="29"/>
  <c r="P33" i="29"/>
  <c r="P34" i="29" s="1"/>
  <c r="P54" i="29"/>
  <c r="P55" i="29" s="1"/>
  <c r="P11" i="29"/>
  <c r="P12" i="29" s="1"/>
  <c r="P59" i="29" s="1"/>
  <c r="P65" i="29" s="1"/>
  <c r="S147" i="31"/>
  <c r="Q47" i="29"/>
  <c r="S181" i="27"/>
  <c r="S37" i="27"/>
  <c r="S180" i="27"/>
  <c r="N17" i="33"/>
  <c r="N20" i="33" s="1"/>
  <c r="R160" i="27"/>
  <c r="R159" i="27"/>
  <c r="Q11" i="33" s="1"/>
  <c r="R36" i="27"/>
  <c r="R39" i="27" s="1"/>
  <c r="Q26" i="31"/>
  <c r="Q29" i="31" s="1"/>
  <c r="P33" i="31"/>
  <c r="P22" i="31" s="1"/>
  <c r="T31" i="27"/>
  <c r="S24" i="41"/>
  <c r="R24" i="41"/>
  <c r="O22" i="31"/>
  <c r="E99" i="29"/>
  <c r="I99" i="29"/>
  <c r="L99" i="29"/>
  <c r="N99" i="29"/>
  <c r="R99" i="29"/>
  <c r="J99" i="29"/>
  <c r="G99" i="29"/>
  <c r="D99" i="29"/>
  <c r="F99" i="29"/>
  <c r="H99" i="29"/>
  <c r="P99" i="29"/>
  <c r="M99" i="29"/>
  <c r="Q99" i="29"/>
  <c r="O99" i="29"/>
  <c r="K99" i="29"/>
  <c r="P48" i="29"/>
  <c r="H24" i="53"/>
  <c r="G86" i="26"/>
  <c r="H22" i="53"/>
  <c r="M16" i="26"/>
  <c r="M17" i="26" s="1"/>
  <c r="E20" i="53"/>
  <c r="G22" i="53"/>
  <c r="F86" i="26"/>
  <c r="G24" i="53"/>
  <c r="I24" i="53"/>
  <c r="H86" i="26"/>
  <c r="I22" i="53"/>
  <c r="M11" i="41" l="1"/>
  <c r="R120" i="29"/>
  <c r="T32" i="27"/>
  <c r="T26" i="27"/>
  <c r="S201" i="27"/>
  <c r="S38" i="27"/>
  <c r="S200" i="27"/>
  <c r="S10" i="33" s="1"/>
  <c r="S13" i="26" s="1"/>
  <c r="R12" i="33"/>
  <c r="R15" i="26" s="1"/>
  <c r="T150" i="31"/>
  <c r="S150" i="31"/>
  <c r="Q16" i="33"/>
  <c r="N39" i="26"/>
  <c r="N11" i="41" s="1"/>
  <c r="G120" i="29"/>
  <c r="M120" i="29"/>
  <c r="P120" i="29"/>
  <c r="Q120" i="29"/>
  <c r="I120" i="29"/>
  <c r="K120" i="29"/>
  <c r="H120" i="29"/>
  <c r="D120" i="29"/>
  <c r="F120" i="29"/>
  <c r="L120" i="29"/>
  <c r="E120" i="29"/>
  <c r="O120" i="29"/>
  <c r="O183" i="29" s="1"/>
  <c r="O189" i="29" s="1"/>
  <c r="P33" i="26" s="1"/>
  <c r="J120" i="29"/>
  <c r="P40" i="29"/>
  <c r="P41" i="29" s="1"/>
  <c r="P60" i="29" s="1"/>
  <c r="P66" i="29" s="1"/>
  <c r="N121" i="29" s="1"/>
  <c r="F20" i="53"/>
  <c r="R26" i="31"/>
  <c r="R29" i="31" s="1"/>
  <c r="Q33" i="31"/>
  <c r="Q22" i="31" s="1"/>
  <c r="T37" i="27"/>
  <c r="T181" i="27"/>
  <c r="S12" i="33" s="1"/>
  <c r="S15" i="26" s="1"/>
  <c r="T182" i="27"/>
  <c r="Q14" i="26"/>
  <c r="Q36" i="26" s="1"/>
  <c r="Q13" i="33"/>
  <c r="J83" i="29"/>
  <c r="R83" i="29"/>
  <c r="I83" i="29"/>
  <c r="N83" i="29"/>
  <c r="O83" i="29"/>
  <c r="H83" i="29"/>
  <c r="Q83" i="29"/>
  <c r="K83" i="29"/>
  <c r="D83" i="29"/>
  <c r="F83" i="29"/>
  <c r="E83" i="29"/>
  <c r="P83" i="29"/>
  <c r="P142" i="29" s="1"/>
  <c r="P147" i="29" s="1"/>
  <c r="Q32" i="26" s="1"/>
  <c r="L83" i="29"/>
  <c r="G83" i="29"/>
  <c r="M83" i="29"/>
  <c r="Q54" i="29"/>
  <c r="Q55" i="29" s="1"/>
  <c r="Q33" i="29"/>
  <c r="Q34" i="29" s="1"/>
  <c r="Q26" i="29"/>
  <c r="Q11" i="29"/>
  <c r="Q12" i="29" s="1"/>
  <c r="Q59" i="29" s="1"/>
  <c r="Q65" i="29" s="1"/>
  <c r="N189" i="29"/>
  <c r="O33" i="26" s="1"/>
  <c r="N161" i="29"/>
  <c r="N168" i="29" s="1"/>
  <c r="O35" i="26" s="1"/>
  <c r="O34" i="26" s="1"/>
  <c r="N162" i="29"/>
  <c r="P32" i="6"/>
  <c r="Q48" i="29"/>
  <c r="P18" i="29"/>
  <c r="P19" i="29" s="1"/>
  <c r="P61" i="29" s="1"/>
  <c r="P67" i="29" s="1"/>
  <c r="P27" i="29"/>
  <c r="R33" i="29"/>
  <c r="R34" i="29" s="1"/>
  <c r="R54" i="29"/>
  <c r="R55" i="29" s="1"/>
  <c r="R26" i="29"/>
  <c r="R11" i="29"/>
  <c r="R12" i="29" s="1"/>
  <c r="R59" i="29" s="1"/>
  <c r="R65" i="29" s="1"/>
  <c r="S19" i="31"/>
  <c r="P23" i="31"/>
  <c r="P34" i="31"/>
  <c r="T147" i="31"/>
  <c r="R47" i="29"/>
  <c r="P14" i="26"/>
  <c r="P36" i="26" s="1"/>
  <c r="P13" i="33"/>
  <c r="T162" i="27"/>
  <c r="T161" i="27"/>
  <c r="T36" i="27"/>
  <c r="I100" i="29"/>
  <c r="L100" i="29"/>
  <c r="H100" i="29"/>
  <c r="O100" i="29"/>
  <c r="D100" i="29"/>
  <c r="J100" i="29"/>
  <c r="Q100" i="29"/>
  <c r="R100" i="29"/>
  <c r="E100" i="29"/>
  <c r="P100" i="29"/>
  <c r="M100" i="29"/>
  <c r="G100" i="29"/>
  <c r="F100" i="29"/>
  <c r="K100" i="29"/>
  <c r="N100" i="29"/>
  <c r="T13" i="27"/>
  <c r="T14" i="27" s="1"/>
  <c r="T18" i="31"/>
  <c r="S36" i="27"/>
  <c r="S39" i="27" s="1"/>
  <c r="S160" i="27"/>
  <c r="S161" i="27"/>
  <c r="H20" i="53"/>
  <c r="H39" i="6"/>
  <c r="G20" i="53"/>
  <c r="N16" i="26"/>
  <c r="N17" i="26" s="1"/>
  <c r="M23" i="26"/>
  <c r="M24" i="26" s="1"/>
  <c r="M20" i="26"/>
  <c r="I20" i="53"/>
  <c r="M27" i="26" l="1"/>
  <c r="M29" i="26" s="1"/>
  <c r="Q40" i="29"/>
  <c r="Q41" i="29" s="1"/>
  <c r="Q60" i="29" s="1"/>
  <c r="Q66" i="29" s="1"/>
  <c r="D122" i="29" s="1"/>
  <c r="J121" i="29"/>
  <c r="K121" i="29"/>
  <c r="R16" i="33"/>
  <c r="S16" i="33"/>
  <c r="T38" i="27"/>
  <c r="T39" i="27" s="1"/>
  <c r="T201" i="27"/>
  <c r="T202" i="27"/>
  <c r="D121" i="29"/>
  <c r="P121" i="29"/>
  <c r="P184" i="29" s="1"/>
  <c r="I121" i="29"/>
  <c r="M121" i="29"/>
  <c r="R121" i="29"/>
  <c r="F121" i="29"/>
  <c r="E121" i="29"/>
  <c r="L121" i="29"/>
  <c r="Q121" i="29"/>
  <c r="O121" i="29"/>
  <c r="O184" i="29" s="1"/>
  <c r="P189" i="29" s="1"/>
  <c r="Q33" i="26" s="1"/>
  <c r="G121" i="29"/>
  <c r="H121" i="29"/>
  <c r="Q32" i="6"/>
  <c r="R32" i="6"/>
  <c r="T19" i="31"/>
  <c r="L84" i="29"/>
  <c r="Q84" i="29"/>
  <c r="Q143" i="29" s="1"/>
  <c r="Q147" i="29" s="1"/>
  <c r="R32" i="26" s="1"/>
  <c r="R84" i="29"/>
  <c r="E84" i="29"/>
  <c r="K84" i="29"/>
  <c r="N84" i="29"/>
  <c r="H84" i="29"/>
  <c r="G84" i="29"/>
  <c r="F84" i="29"/>
  <c r="J84" i="29"/>
  <c r="I84" i="29"/>
  <c r="D84" i="29"/>
  <c r="M84" i="29"/>
  <c r="P84" i="29"/>
  <c r="O84" i="29"/>
  <c r="S11" i="33"/>
  <c r="O162" i="29"/>
  <c r="O168" i="29" s="1"/>
  <c r="P35" i="26" s="1"/>
  <c r="P34" i="26" s="1"/>
  <c r="P39" i="26" s="1"/>
  <c r="P11" i="41" s="1"/>
  <c r="O163" i="29"/>
  <c r="Q18" i="29"/>
  <c r="Q19" i="29" s="1"/>
  <c r="Q61" i="29" s="1"/>
  <c r="Q67" i="29" s="1"/>
  <c r="Q27" i="29"/>
  <c r="Q17" i="33"/>
  <c r="Q20" i="33" s="1"/>
  <c r="Q23" i="31"/>
  <c r="Q34" i="31"/>
  <c r="R27" i="29"/>
  <c r="R18" i="29"/>
  <c r="R19" i="29" s="1"/>
  <c r="R61" i="29" s="1"/>
  <c r="R67" i="29" s="1"/>
  <c r="P17" i="33"/>
  <c r="P20" i="33" s="1"/>
  <c r="R40" i="29"/>
  <c r="R41" i="29" s="1"/>
  <c r="R60" i="29" s="1"/>
  <c r="R66" i="29" s="1"/>
  <c r="R48" i="29"/>
  <c r="O85" i="29"/>
  <c r="Q85" i="29"/>
  <c r="K85" i="29"/>
  <c r="P85" i="29"/>
  <c r="J85" i="29"/>
  <c r="H85" i="29"/>
  <c r="G85" i="29"/>
  <c r="N85" i="29"/>
  <c r="M85" i="29"/>
  <c r="L85" i="29"/>
  <c r="E85" i="29"/>
  <c r="D85" i="29"/>
  <c r="I85" i="29"/>
  <c r="F85" i="29"/>
  <c r="R85" i="29"/>
  <c r="R144" i="29" s="1"/>
  <c r="R147" i="29" s="1"/>
  <c r="S32" i="26" s="1"/>
  <c r="H101" i="29"/>
  <c r="J101" i="29"/>
  <c r="E101" i="29"/>
  <c r="D101" i="29"/>
  <c r="N101" i="29"/>
  <c r="L101" i="29"/>
  <c r="G101" i="29"/>
  <c r="Q101" i="29"/>
  <c r="M101" i="29"/>
  <c r="K101" i="29"/>
  <c r="I101" i="29"/>
  <c r="R101" i="29"/>
  <c r="F101" i="29"/>
  <c r="P101" i="29"/>
  <c r="O101" i="29"/>
  <c r="O39" i="26"/>
  <c r="O11" i="41" s="1"/>
  <c r="R33" i="31"/>
  <c r="R22" i="31" s="1"/>
  <c r="S26" i="31"/>
  <c r="S29" i="31" s="1"/>
  <c r="R11" i="33"/>
  <c r="N23" i="35"/>
  <c r="N22" i="35"/>
  <c r="N20" i="35"/>
  <c r="N21" i="35"/>
  <c r="N11" i="35"/>
  <c r="O16" i="26"/>
  <c r="O17" i="26" s="1"/>
  <c r="N15" i="35"/>
  <c r="N23" i="26"/>
  <c r="N27" i="26" s="1"/>
  <c r="N29" i="26" s="1"/>
  <c r="N20" i="26"/>
  <c r="N25" i="35"/>
  <c r="N12" i="35"/>
  <c r="N14" i="35"/>
  <c r="N24" i="35"/>
  <c r="M54" i="26" l="1"/>
  <c r="R122" i="29"/>
  <c r="F122" i="29"/>
  <c r="L122" i="29"/>
  <c r="E122" i="29"/>
  <c r="H122" i="29"/>
  <c r="N122" i="29"/>
  <c r="M122" i="29"/>
  <c r="P122" i="29"/>
  <c r="P185" i="29" s="1"/>
  <c r="K122" i="29"/>
  <c r="Q122" i="29"/>
  <c r="Q185" i="29" s="1"/>
  <c r="Q189" i="29" s="1"/>
  <c r="R33" i="26" s="1"/>
  <c r="J122" i="29"/>
  <c r="G122" i="29"/>
  <c r="I122" i="29"/>
  <c r="O122" i="29"/>
  <c r="Q123" i="29"/>
  <c r="Q186" i="29" s="1"/>
  <c r="R123" i="29"/>
  <c r="R186" i="29" s="1"/>
  <c r="H123" i="29"/>
  <c r="M123" i="29"/>
  <c r="P123" i="29"/>
  <c r="J123" i="29"/>
  <c r="L123" i="29"/>
  <c r="K123" i="29"/>
  <c r="N123" i="29"/>
  <c r="G123" i="29"/>
  <c r="D123" i="29"/>
  <c r="O123" i="29"/>
  <c r="F123" i="29"/>
  <c r="I123" i="29"/>
  <c r="E123" i="29"/>
  <c r="R14" i="26"/>
  <c r="R36" i="26" s="1"/>
  <c r="R13" i="33"/>
  <c r="T26" i="31"/>
  <c r="T29" i="31" s="1"/>
  <c r="S33" i="31"/>
  <c r="S22" i="31" s="1"/>
  <c r="P164" i="29"/>
  <c r="P163" i="29"/>
  <c r="P168" i="29" s="1"/>
  <c r="K102" i="29"/>
  <c r="Q102" i="29"/>
  <c r="N102" i="29"/>
  <c r="M102" i="29"/>
  <c r="H102" i="29"/>
  <c r="G102" i="29"/>
  <c r="J102" i="29"/>
  <c r="D102" i="29"/>
  <c r="R102" i="29"/>
  <c r="O102" i="29"/>
  <c r="P102" i="29"/>
  <c r="I102" i="29"/>
  <c r="F102" i="29"/>
  <c r="E102" i="29"/>
  <c r="L102" i="29"/>
  <c r="S14" i="26"/>
  <c r="S36" i="26" s="1"/>
  <c r="S13" i="33"/>
  <c r="O103" i="29"/>
  <c r="H103" i="29"/>
  <c r="M103" i="29"/>
  <c r="P103" i="29"/>
  <c r="F103" i="29"/>
  <c r="I103" i="29"/>
  <c r="Q103" i="29"/>
  <c r="D103" i="29"/>
  <c r="G103" i="29"/>
  <c r="E103" i="29"/>
  <c r="N103" i="29"/>
  <c r="R103" i="29"/>
  <c r="R165" i="29" s="1"/>
  <c r="L103" i="29"/>
  <c r="K103" i="29"/>
  <c r="J103" i="29"/>
  <c r="R23" i="31"/>
  <c r="R34" i="31"/>
  <c r="O14" i="35"/>
  <c r="O25" i="35"/>
  <c r="O20" i="26"/>
  <c r="O23" i="26"/>
  <c r="O24" i="26" s="1"/>
  <c r="O11" i="35"/>
  <c r="O21" i="35"/>
  <c r="O24" i="35"/>
  <c r="O15" i="35"/>
  <c r="N27" i="35"/>
  <c r="O22" i="35"/>
  <c r="O12" i="35"/>
  <c r="M52" i="26"/>
  <c r="M46" i="26"/>
  <c r="M49" i="26" s="1"/>
  <c r="M50" i="26" s="1"/>
  <c r="N24" i="26"/>
  <c r="N54" i="26"/>
  <c r="P16" i="26"/>
  <c r="P17" i="26" s="1"/>
  <c r="O20" i="35"/>
  <c r="O23" i="35"/>
  <c r="O27" i="26" l="1"/>
  <c r="O29" i="26" s="1"/>
  <c r="M13" i="41"/>
  <c r="R189" i="29"/>
  <c r="S33" i="26" s="1"/>
  <c r="S23" i="31"/>
  <c r="S34" i="31"/>
  <c r="Q165" i="29"/>
  <c r="R168" i="29" s="1"/>
  <c r="S35" i="26" s="1"/>
  <c r="S34" i="26" s="1"/>
  <c r="Q164" i="29"/>
  <c r="Q168" i="29" s="1"/>
  <c r="R35" i="26" s="1"/>
  <c r="R34" i="26" s="1"/>
  <c r="R39" i="26" s="1"/>
  <c r="R11" i="41" s="1"/>
  <c r="Q35" i="26"/>
  <c r="Q34" i="26" s="1"/>
  <c r="Q39" i="26" s="1"/>
  <c r="Q11" i="41" s="1"/>
  <c r="T33" i="31"/>
  <c r="T22" i="31" s="1"/>
  <c r="S17" i="33"/>
  <c r="S20" i="33" s="1"/>
  <c r="R17" i="33"/>
  <c r="R20" i="33" s="1"/>
  <c r="P23" i="35"/>
  <c r="P20" i="35"/>
  <c r="N9" i="35"/>
  <c r="N16" i="35"/>
  <c r="N10" i="35"/>
  <c r="M10" i="41"/>
  <c r="M12" i="41" s="1"/>
  <c r="N13" i="35"/>
  <c r="P15" i="35"/>
  <c r="P23" i="26"/>
  <c r="P27" i="26" s="1"/>
  <c r="P29" i="26" s="1"/>
  <c r="P20" i="26"/>
  <c r="N52" i="26"/>
  <c r="N46" i="26"/>
  <c r="N49" i="26" s="1"/>
  <c r="N50" i="26" s="1"/>
  <c r="P22" i="35"/>
  <c r="P14" i="35"/>
  <c r="O27" i="35"/>
  <c r="Q16" i="26"/>
  <c r="Q17" i="26" s="1"/>
  <c r="P24" i="35"/>
  <c r="P12" i="35"/>
  <c r="P21" i="35"/>
  <c r="P11" i="35"/>
  <c r="P25" i="35"/>
  <c r="S39" i="26" l="1"/>
  <c r="S11" i="41" s="1"/>
  <c r="N13" i="41"/>
  <c r="O52" i="26"/>
  <c r="O54" i="26"/>
  <c r="T23" i="31"/>
  <c r="T34" i="31"/>
  <c r="O46" i="26"/>
  <c r="O49" i="26" s="1"/>
  <c r="O50" i="26" s="1"/>
  <c r="O10" i="41"/>
  <c r="O12" i="41" s="1"/>
  <c r="Q24" i="35"/>
  <c r="R16" i="26"/>
  <c r="R17" i="26" s="1"/>
  <c r="S16" i="26"/>
  <c r="S17" i="26" s="1"/>
  <c r="O13" i="35"/>
  <c r="O9" i="35"/>
  <c r="N10" i="41"/>
  <c r="N12" i="41" s="1"/>
  <c r="O10" i="35"/>
  <c r="O16" i="35"/>
  <c r="Q20" i="35"/>
  <c r="Q11" i="35"/>
  <c r="Q21" i="35"/>
  <c r="Q23" i="26"/>
  <c r="Q27" i="26" s="1"/>
  <c r="Q29" i="26" s="1"/>
  <c r="Q20" i="26"/>
  <c r="N18" i="35"/>
  <c r="N29" i="35" s="1"/>
  <c r="Q25" i="35"/>
  <c r="Q14" i="35"/>
  <c r="Q22" i="35"/>
  <c r="Q15" i="35"/>
  <c r="Q12" i="35"/>
  <c r="P24" i="26"/>
  <c r="P54" i="26"/>
  <c r="P27" i="35"/>
  <c r="Q23" i="35"/>
  <c r="O13" i="41" l="1"/>
  <c r="P13" i="35"/>
  <c r="P9" i="35"/>
  <c r="P16" i="35"/>
  <c r="P10" i="35"/>
  <c r="R23" i="35"/>
  <c r="P52" i="26"/>
  <c r="P46" i="26"/>
  <c r="P49" i="26" s="1"/>
  <c r="P50" i="26" s="1"/>
  <c r="R12" i="35"/>
  <c r="R25" i="35"/>
  <c r="R24" i="35"/>
  <c r="R15" i="35"/>
  <c r="R21" i="35"/>
  <c r="Q27" i="35"/>
  <c r="S20" i="26"/>
  <c r="S23" i="26"/>
  <c r="S24" i="26" s="1"/>
  <c r="R14" i="35"/>
  <c r="R23" i="26"/>
  <c r="R27" i="26" s="1"/>
  <c r="R29" i="26" s="1"/>
  <c r="R20" i="26"/>
  <c r="R22" i="35"/>
  <c r="Q24" i="26"/>
  <c r="Q54" i="26"/>
  <c r="R11" i="35"/>
  <c r="R20" i="35"/>
  <c r="O18" i="35"/>
  <c r="O29" i="35" s="1"/>
  <c r="O31" i="35" s="1"/>
  <c r="N18" i="41" s="1"/>
  <c r="S27" i="26" l="1"/>
  <c r="S29" i="26" s="1"/>
  <c r="P13" i="41"/>
  <c r="P18" i="35"/>
  <c r="P29" i="35" s="1"/>
  <c r="P31" i="35" s="1"/>
  <c r="O18" i="41" s="1"/>
  <c r="S20" i="35"/>
  <c r="Q52" i="26"/>
  <c r="Q46" i="26"/>
  <c r="Q49" i="26" s="1"/>
  <c r="Q50" i="26" s="1"/>
  <c r="R24" i="26"/>
  <c r="R54" i="26"/>
  <c r="S14" i="35"/>
  <c r="S12" i="35"/>
  <c r="T12" i="35" s="1"/>
  <c r="S23" i="35"/>
  <c r="S22" i="35"/>
  <c r="S24" i="35"/>
  <c r="S25" i="35"/>
  <c r="R27" i="35"/>
  <c r="S11" i="35"/>
  <c r="S21" i="35"/>
  <c r="S15" i="35"/>
  <c r="T15" i="35" s="1"/>
  <c r="Q9" i="35"/>
  <c r="P10" i="41"/>
  <c r="P12" i="41" s="1"/>
  <c r="Q16" i="35"/>
  <c r="Q13" i="35"/>
  <c r="Q10" i="35"/>
  <c r="Q13" i="41" l="1"/>
  <c r="S46" i="26"/>
  <c r="S49" i="26" s="1"/>
  <c r="S50" i="26" s="1"/>
  <c r="S54" i="26"/>
  <c r="S52" i="26"/>
  <c r="T22" i="35"/>
  <c r="T21" i="35"/>
  <c r="T25" i="35"/>
  <c r="R46" i="26"/>
  <c r="R49" i="26" s="1"/>
  <c r="R50" i="26" s="1"/>
  <c r="R52" i="26"/>
  <c r="R59" i="26" s="1"/>
  <c r="T20" i="35"/>
  <c r="S27" i="35"/>
  <c r="Q18" i="35"/>
  <c r="Q29" i="35" s="1"/>
  <c r="Q31" i="35" s="1"/>
  <c r="P18" i="41" s="1"/>
  <c r="T11" i="35"/>
  <c r="T24" i="35"/>
  <c r="T23" i="35"/>
  <c r="T14" i="35"/>
  <c r="Q10" i="41"/>
  <c r="Q12" i="41" s="1"/>
  <c r="R9" i="35"/>
  <c r="R16" i="35"/>
  <c r="R13" i="35"/>
  <c r="R10" i="35"/>
  <c r="M59" i="26"/>
  <c r="M60" i="26" s="1"/>
  <c r="N59" i="26"/>
  <c r="O59" i="26"/>
  <c r="O64" i="26" s="1"/>
  <c r="P59" i="26"/>
  <c r="P64" i="26" s="1"/>
  <c r="Q59" i="26"/>
  <c r="Q60" i="26" s="1"/>
  <c r="S13" i="41" l="1"/>
  <c r="R13" i="41"/>
  <c r="S59" i="26"/>
  <c r="S64" i="26" s="1"/>
  <c r="P60" i="26"/>
  <c r="Q64" i="26"/>
  <c r="M64" i="26"/>
  <c r="O60" i="26"/>
  <c r="T10" i="35"/>
  <c r="T9" i="35"/>
  <c r="T13" i="35"/>
  <c r="T16" i="35"/>
  <c r="S10" i="41"/>
  <c r="S12" i="41" s="1"/>
  <c r="S16" i="35"/>
  <c r="S10" i="35"/>
  <c r="S9" i="35"/>
  <c r="R10" i="41"/>
  <c r="R12" i="41" s="1"/>
  <c r="S13" i="35"/>
  <c r="R18" i="35"/>
  <c r="R29" i="35" s="1"/>
  <c r="R31" i="35" s="1"/>
  <c r="Q18" i="41" s="1"/>
  <c r="T27" i="35"/>
  <c r="R64" i="26"/>
  <c r="R60" i="26"/>
  <c r="N64" i="26"/>
  <c r="N60" i="26"/>
  <c r="S60" i="26" l="1"/>
  <c r="T18" i="35"/>
  <c r="T29" i="35" s="1"/>
  <c r="S18" i="35"/>
  <c r="S29" i="35" s="1"/>
  <c r="S31" i="35" s="1"/>
  <c r="R18" i="41" s="1"/>
  <c r="T31" i="35" l="1"/>
  <c r="S18" i="41" s="1"/>
  <c r="S14" i="41"/>
  <c r="R14" i="41"/>
  <c r="N14" i="41"/>
  <c r="Q14" i="41"/>
  <c r="O14" i="41"/>
  <c r="M14" i="41"/>
  <c r="P14" i="41"/>
  <c r="I39" i="6" l="1"/>
  <c r="J39" i="6" l="1"/>
  <c r="K39" i="6" l="1"/>
  <c r="L39" i="6" l="1"/>
  <c r="M39" i="6" l="1"/>
  <c r="N39" i="6" l="1"/>
  <c r="O39" i="6" l="1"/>
  <c r="P39" i="6" l="1"/>
  <c r="Q39" i="6" l="1"/>
  <c r="R39" i="6" l="1"/>
  <c r="H64" i="6" l="1"/>
  <c r="H56" i="6"/>
  <c r="H74" i="6"/>
  <c r="H21" i="6" l="1"/>
  <c r="H41" i="6" s="1"/>
  <c r="J16" i="53"/>
  <c r="J17" i="53" s="1"/>
  <c r="J15" i="53"/>
  <c r="H76" i="6"/>
  <c r="J11" i="53" l="1"/>
  <c r="H77" i="6"/>
  <c r="J23" i="53"/>
  <c r="J10" i="53"/>
  <c r="J12" i="53"/>
  <c r="I64" i="6" l="1"/>
  <c r="I56" i="6"/>
  <c r="I21" i="6"/>
  <c r="K16" i="53" l="1"/>
  <c r="K17" i="53" s="1"/>
  <c r="K10" i="53"/>
  <c r="I41" i="6"/>
  <c r="K12" i="53"/>
  <c r="K11" i="53"/>
  <c r="I74" i="6" l="1"/>
  <c r="J21" i="6" l="1"/>
  <c r="I76" i="6"/>
  <c r="I77" i="6" s="1"/>
  <c r="K15" i="53"/>
  <c r="K23" i="53"/>
  <c r="J56" i="6" l="1"/>
  <c r="L11" i="53" s="1"/>
  <c r="J41" i="6"/>
  <c r="L16" i="53" l="1"/>
  <c r="L17" i="53" s="1"/>
  <c r="L10" i="53"/>
  <c r="J64" i="6" l="1"/>
  <c r="L12" i="53" s="1"/>
  <c r="J74" i="6" l="1"/>
  <c r="M231" i="31" s="1"/>
  <c r="C7" i="43" l="1"/>
  <c r="M232" i="31"/>
  <c r="J76" i="6"/>
  <c r="J77" i="6" s="1"/>
  <c r="L23" i="53"/>
  <c r="L15" i="53"/>
  <c r="M233" i="31" l="1"/>
  <c r="C8" i="43"/>
  <c r="C9" i="43" s="1"/>
  <c r="M242" i="31"/>
  <c r="C18" i="43"/>
  <c r="K21" i="6"/>
  <c r="K41" i="6" s="1"/>
  <c r="K56" i="6"/>
  <c r="M11" i="53" l="1"/>
  <c r="M10" i="53"/>
  <c r="M16" i="53"/>
  <c r="M17" i="53" s="1"/>
  <c r="K64" i="6"/>
  <c r="M12" i="53" l="1"/>
  <c r="K74" i="6"/>
  <c r="K76" i="6" l="1"/>
  <c r="K77" i="6" s="1"/>
  <c r="M23" i="53"/>
  <c r="M15" i="53"/>
  <c r="N16" i="53" l="1"/>
  <c r="N17" i="53" s="1"/>
  <c r="L56" i="6"/>
  <c r="L64" i="6" l="1"/>
  <c r="L74" i="6" l="1"/>
  <c r="L76" i="6" l="1"/>
  <c r="N15" i="53"/>
  <c r="M21" i="6" l="1"/>
  <c r="M41" i="6" s="1"/>
  <c r="M56" i="6" l="1"/>
  <c r="O10" i="53" s="1"/>
  <c r="O21" i="53"/>
  <c r="O11" i="53" l="1"/>
  <c r="O16" i="53"/>
  <c r="O17" i="53" s="1"/>
  <c r="M64" i="6"/>
  <c r="O12" i="53" s="1"/>
  <c r="M74" i="6" l="1"/>
  <c r="M76" i="6" l="1"/>
  <c r="M77" i="6" s="1"/>
  <c r="O15" i="53"/>
  <c r="O23" i="53"/>
  <c r="P16" i="53" l="1"/>
  <c r="P17" i="53" s="1"/>
  <c r="N56" i="6"/>
  <c r="N64" i="6" l="1"/>
  <c r="N74" i="6" l="1"/>
  <c r="N76" i="6" l="1"/>
  <c r="P15" i="53"/>
  <c r="O56" i="6" l="1"/>
  <c r="Q16" i="53" l="1"/>
  <c r="Q17" i="53" s="1"/>
  <c r="O64" i="6"/>
  <c r="O74" i="6" l="1"/>
  <c r="P21" i="6" l="1"/>
  <c r="O76" i="6"/>
  <c r="Q15" i="53"/>
  <c r="P56" i="6" l="1"/>
  <c r="R11" i="53" s="1"/>
  <c r="P41" i="6"/>
  <c r="R16" i="53" l="1"/>
  <c r="R17" i="53" s="1"/>
  <c r="R21" i="53"/>
  <c r="R10" i="53"/>
  <c r="P64" i="6" l="1"/>
  <c r="R12" i="53" s="1"/>
  <c r="P74" i="6" l="1"/>
  <c r="Q21" i="6" l="1"/>
  <c r="P76" i="6"/>
  <c r="P77" i="6" s="1"/>
  <c r="R23" i="53"/>
  <c r="R15" i="53"/>
  <c r="Q41" i="6" l="1"/>
  <c r="Q56" i="6"/>
  <c r="S16" i="53" l="1"/>
  <c r="S17" i="53" s="1"/>
  <c r="S11" i="53"/>
  <c r="S21" i="53"/>
  <c r="S10" i="53"/>
  <c r="Q64" i="6" l="1"/>
  <c r="S12" i="53" s="1"/>
  <c r="Q74" i="6" l="1"/>
  <c r="Q76" i="6" l="1"/>
  <c r="Q77" i="6" s="1"/>
  <c r="S23" i="53"/>
  <c r="S15" i="53"/>
  <c r="R21" i="6" l="1"/>
  <c r="R41" i="6" s="1"/>
  <c r="T21" i="53" s="1"/>
  <c r="R56" i="6" l="1"/>
  <c r="T10" i="53" s="1"/>
  <c r="T11" i="53" l="1"/>
  <c r="T16" i="53"/>
  <c r="T17" i="53" s="1"/>
  <c r="R64" i="6"/>
  <c r="T12" i="53" s="1"/>
  <c r="R74" i="6" l="1"/>
  <c r="T23" i="53" s="1"/>
  <c r="T15" i="53" l="1"/>
  <c r="R76" i="6"/>
  <c r="R77" i="6" s="1"/>
  <c r="L21" i="6"/>
  <c r="O21" i="6"/>
  <c r="N21" i="6"/>
  <c r="I41" i="26"/>
  <c r="I66" i="26"/>
  <c r="J179" i="31" s="1"/>
  <c r="I17" i="26"/>
  <c r="J134" i="31" l="1"/>
  <c r="I16" i="33" s="1"/>
  <c r="I17" i="33" s="1"/>
  <c r="I20" i="33" s="1"/>
  <c r="I27" i="26"/>
  <c r="I29" i="26" s="1"/>
  <c r="O41" i="6"/>
  <c r="Q11" i="53"/>
  <c r="Q10" i="53"/>
  <c r="Q12" i="53"/>
  <c r="L41" i="6"/>
  <c r="N11" i="53"/>
  <c r="N10" i="53"/>
  <c r="N12" i="53"/>
  <c r="N41" i="6"/>
  <c r="P11" i="53"/>
  <c r="P10" i="53"/>
  <c r="P12" i="53"/>
  <c r="I20" i="26"/>
  <c r="I24" i="26"/>
  <c r="P21" i="53" l="1"/>
  <c r="P23" i="53"/>
  <c r="N77" i="6"/>
  <c r="N21" i="53"/>
  <c r="N23" i="53"/>
  <c r="L77" i="6"/>
  <c r="Q21" i="53"/>
  <c r="Q23" i="53"/>
  <c r="O77" i="6"/>
  <c r="J21" i="53" l="1"/>
  <c r="J140" i="31"/>
  <c r="J139" i="31"/>
  <c r="J169" i="31"/>
  <c r="J164" i="31"/>
  <c r="I49" i="26"/>
  <c r="I50" i="26" l="1"/>
  <c r="J187" i="31"/>
  <c r="J37" i="35"/>
  <c r="J204" i="31" s="1"/>
  <c r="J41" i="35"/>
  <c r="J208" i="31" s="1"/>
  <c r="J45" i="35"/>
  <c r="J212" i="31" s="1"/>
  <c r="J36" i="35"/>
  <c r="J203" i="31" s="1"/>
  <c r="J48" i="35"/>
  <c r="J215" i="31" s="1"/>
  <c r="J46" i="35"/>
  <c r="J213" i="31" s="1"/>
  <c r="J35" i="35"/>
  <c r="J202" i="31" s="1"/>
  <c r="J47" i="35"/>
  <c r="J214" i="31" s="1"/>
  <c r="I10" i="41"/>
  <c r="I12" i="41" s="1"/>
  <c r="J39" i="35"/>
  <c r="J206" i="31" s="1"/>
  <c r="J38" i="35"/>
  <c r="J205" i="31" s="1"/>
  <c r="J44" i="35"/>
  <c r="J211" i="31" s="1"/>
  <c r="J42" i="35"/>
  <c r="J209" i="31" s="1"/>
  <c r="J43" i="35"/>
  <c r="J210" i="31" s="1"/>
  <c r="J40" i="35"/>
  <c r="J207" i="31" s="1"/>
  <c r="I43" i="26"/>
  <c r="I44" i="26" s="1"/>
  <c r="J18" i="35" l="1"/>
  <c r="J29" i="35" s="1"/>
  <c r="J31" i="35" s="1"/>
  <c r="I18" i="41" s="1"/>
  <c r="I14" i="41"/>
  <c r="I16" i="41" l="1"/>
  <c r="I20" i="41" s="1"/>
  <c r="I22" i="41" l="1"/>
  <c r="I25" i="41" s="1"/>
  <c r="I56" i="26" l="1"/>
  <c r="I59" i="26" s="1"/>
  <c r="I60" i="26" l="1"/>
  <c r="I71" i="26"/>
  <c r="I64" i="26"/>
  <c r="I77" i="26"/>
  <c r="I83" i="26" l="1"/>
  <c r="I78" i="26"/>
  <c r="J27" i="53"/>
  <c r="I28" i="41"/>
  <c r="I74" i="26"/>
  <c r="J28" i="53"/>
  <c r="I72" i="26"/>
  <c r="I75" i="26" l="1"/>
  <c r="K174" i="31"/>
  <c r="J66" i="26"/>
  <c r="K179" i="31" s="1"/>
  <c r="J197" i="31"/>
  <c r="I85" i="26"/>
  <c r="I86" i="26" l="1"/>
  <c r="J20" i="53" s="1"/>
  <c r="J22" i="53"/>
  <c r="J24" i="53"/>
  <c r="J16" i="33"/>
  <c r="J17" i="33" s="1"/>
  <c r="J20" i="33" s="1"/>
  <c r="K140" i="31" l="1"/>
  <c r="K169" i="31"/>
  <c r="K139" i="31"/>
  <c r="K164" i="31"/>
  <c r="J24" i="26"/>
  <c r="K21" i="53"/>
  <c r="K41" i="35" l="1"/>
  <c r="K208" i="31" s="1"/>
  <c r="K42" i="35"/>
  <c r="K209" i="31" s="1"/>
  <c r="K35" i="35"/>
  <c r="K202" i="31" s="1"/>
  <c r="K43" i="35"/>
  <c r="K210" i="31" s="1"/>
  <c r="K39" i="35"/>
  <c r="K206" i="31" s="1"/>
  <c r="K36" i="35"/>
  <c r="K203" i="31" s="1"/>
  <c r="K44" i="35"/>
  <c r="K211" i="31" s="1"/>
  <c r="K40" i="35"/>
  <c r="K207" i="31" s="1"/>
  <c r="K204" i="31"/>
  <c r="K45" i="35"/>
  <c r="K212" i="31" s="1"/>
  <c r="K38" i="35"/>
  <c r="K205" i="31" s="1"/>
  <c r="K48" i="35"/>
  <c r="K215" i="31" s="1"/>
  <c r="J59" i="26"/>
  <c r="J60" i="26" s="1"/>
  <c r="J13" i="41"/>
  <c r="J49" i="26"/>
  <c r="J10" i="41"/>
  <c r="J50" i="26" l="1"/>
  <c r="K187" i="31"/>
  <c r="K18" i="35"/>
  <c r="J64" i="26"/>
  <c r="J39" i="26"/>
  <c r="J11" i="41" l="1"/>
  <c r="J12" i="41" s="1"/>
  <c r="J14" i="41" s="1"/>
  <c r="J41" i="26"/>
  <c r="J43" i="26" s="1"/>
  <c r="J44" i="26" l="1"/>
  <c r="J71" i="26"/>
  <c r="J77" i="26"/>
  <c r="J74" i="26" l="1"/>
  <c r="L174" i="31" s="1"/>
  <c r="J72" i="26"/>
  <c r="J16" i="41"/>
  <c r="J78" i="26"/>
  <c r="J75" i="26" l="1"/>
  <c r="J20" i="41"/>
  <c r="K28" i="53" l="1"/>
  <c r="J22" i="41" l="1"/>
  <c r="J25" i="41" s="1"/>
  <c r="J28" i="41" s="1"/>
  <c r="K27" i="53"/>
  <c r="J83" i="26"/>
  <c r="J85" i="26" l="1"/>
  <c r="K22" i="53" s="1"/>
  <c r="K197" i="31"/>
  <c r="K24" i="53"/>
  <c r="J86" i="26" l="1"/>
  <c r="K20" i="53" s="1"/>
  <c r="K46" i="35"/>
  <c r="K213" i="31" s="1"/>
  <c r="K47" i="35"/>
  <c r="K214" i="31" s="1"/>
  <c r="K27" i="35"/>
  <c r="K29" i="35" s="1"/>
  <c r="K31" i="35" l="1"/>
  <c r="N179" i="31" l="1"/>
  <c r="O179" i="31" l="1"/>
  <c r="P179" i="31" l="1"/>
  <c r="Q179" i="31" l="1"/>
  <c r="R179" i="31" l="1"/>
  <c r="S179" i="31" l="1"/>
  <c r="T179" i="31" l="1"/>
  <c r="L18" i="35" l="1"/>
  <c r="L27" i="35"/>
  <c r="L29" i="35" l="1"/>
  <c r="L31" i="35" l="1"/>
  <c r="K18" i="41" s="1"/>
  <c r="K39" i="26"/>
  <c r="K17" i="26"/>
  <c r="K27" i="26" l="1"/>
  <c r="L134" i="31"/>
  <c r="K11" i="41"/>
  <c r="K20" i="26"/>
  <c r="L140" i="31" l="1"/>
  <c r="L139" i="31"/>
  <c r="L169" i="31"/>
  <c r="L164" i="31"/>
  <c r="K29" i="26"/>
  <c r="K40" i="26" l="1"/>
  <c r="K66" i="26" l="1"/>
  <c r="K41" i="26"/>
  <c r="K16" i="33" l="1"/>
  <c r="K17" i="33" s="1"/>
  <c r="K20" i="33" s="1"/>
  <c r="K24" i="26"/>
  <c r="L21" i="53" l="1"/>
  <c r="L36" i="35" l="1"/>
  <c r="L203" i="31" s="1"/>
  <c r="L40" i="35"/>
  <c r="L207" i="31" s="1"/>
  <c r="L44" i="35"/>
  <c r="L211" i="31" s="1"/>
  <c r="L48" i="35"/>
  <c r="L215" i="31" s="1"/>
  <c r="L39" i="35"/>
  <c r="L206" i="31" s="1"/>
  <c r="L43" i="35"/>
  <c r="L210" i="31" s="1"/>
  <c r="L37" i="35"/>
  <c r="L204" i="31" s="1"/>
  <c r="L41" i="35"/>
  <c r="L208" i="31" s="1"/>
  <c r="L45" i="35"/>
  <c r="L212" i="31" s="1"/>
  <c r="L38" i="35"/>
  <c r="L205" i="31" s="1"/>
  <c r="L42" i="35"/>
  <c r="L209" i="31" s="1"/>
  <c r="L46" i="35"/>
  <c r="L213" i="31" s="1"/>
  <c r="L35" i="35"/>
  <c r="L202" i="31" s="1"/>
  <c r="L47" i="35"/>
  <c r="L214" i="31" s="1"/>
  <c r="K13" i="41"/>
  <c r="K49" i="26"/>
  <c r="K10" i="41"/>
  <c r="K12" i="41" s="1"/>
  <c r="K43" i="26"/>
  <c r="K59" i="26"/>
  <c r="K50" i="26" l="1"/>
  <c r="L187" i="31"/>
  <c r="K71" i="26"/>
  <c r="K14" i="41"/>
  <c r="K77" i="26"/>
  <c r="K44" i="26"/>
  <c r="K60" i="26"/>
  <c r="K64" i="26"/>
  <c r="K78" i="26" l="1"/>
  <c r="K74" i="26"/>
  <c r="K75" i="26" s="1"/>
  <c r="K72" i="26"/>
  <c r="K83" i="26" l="1"/>
  <c r="L197" i="31" s="1"/>
  <c r="L28" i="53"/>
  <c r="L27" i="53"/>
  <c r="K85" i="26" l="1"/>
  <c r="K86" i="26" l="1"/>
  <c r="L20" i="53" s="1"/>
  <c r="L24" i="53"/>
  <c r="L22" i="53"/>
  <c r="K16" i="41" l="1"/>
  <c r="K20" i="41" s="1"/>
  <c r="K22" i="41" l="1"/>
  <c r="K25" i="41" s="1"/>
  <c r="K28" i="41" l="1"/>
  <c r="L17" i="26" l="1"/>
  <c r="L27" i="26" s="1"/>
  <c r="L20" i="26" l="1"/>
  <c r="L24" i="26"/>
  <c r="M134" i="31"/>
  <c r="L16" i="33" s="1"/>
  <c r="L17" i="33" s="1"/>
  <c r="L20" i="33" s="1"/>
  <c r="L29" i="26" l="1"/>
  <c r="M21" i="53"/>
  <c r="M139" i="31"/>
  <c r="L10" i="41" l="1"/>
  <c r="M140" i="31"/>
  <c r="L39" i="26"/>
  <c r="L11" i="41" s="1"/>
  <c r="L66" i="26"/>
  <c r="L12" i="41" l="1"/>
  <c r="L41" i="26"/>
  <c r="L43" i="26" s="1"/>
  <c r="L44" i="26" s="1"/>
  <c r="L49" i="26"/>
  <c r="L50" i="26" s="1"/>
  <c r="M187" i="31" l="1"/>
  <c r="M164" i="31"/>
  <c r="L13" i="41"/>
  <c r="L14" i="41" s="1"/>
  <c r="M169" i="31"/>
  <c r="L59" i="26"/>
  <c r="L60" i="26" s="1"/>
  <c r="L77" i="26" l="1"/>
  <c r="L71" i="26"/>
  <c r="L64" i="26"/>
  <c r="M17" i="41" l="1"/>
  <c r="L74" i="26"/>
  <c r="L75" i="26" s="1"/>
  <c r="L72" i="26"/>
  <c r="N181" i="31"/>
  <c r="M40" i="26" s="1"/>
  <c r="L78" i="26"/>
  <c r="M66" i="26" l="1"/>
  <c r="M41" i="26"/>
  <c r="M43" i="26" s="1"/>
  <c r="M44" i="26" l="1"/>
  <c r="M71" i="26"/>
  <c r="M77" i="26"/>
  <c r="M78" i="26" l="1"/>
  <c r="M15" i="41"/>
  <c r="M16" i="41" s="1"/>
  <c r="N17" i="41"/>
  <c r="M72" i="26"/>
  <c r="M74" i="26"/>
  <c r="M75" i="26" s="1"/>
  <c r="O181" i="31"/>
  <c r="N40" i="26" s="1"/>
  <c r="N66" i="26" l="1"/>
  <c r="N41" i="26"/>
  <c r="N43" i="26" s="1"/>
  <c r="N44" i="26" l="1"/>
  <c r="N77" i="26"/>
  <c r="N71" i="26"/>
  <c r="N15" i="41" l="1"/>
  <c r="N16" i="41" s="1"/>
  <c r="N20" i="41" s="1"/>
  <c r="N78" i="26"/>
  <c r="O17" i="41"/>
  <c r="N72" i="26"/>
  <c r="N74" i="26"/>
  <c r="N75" i="26" s="1"/>
  <c r="P181" i="31"/>
  <c r="O40" i="26" s="1"/>
  <c r="O66" i="26" l="1"/>
  <c r="O41" i="26"/>
  <c r="O43" i="26" s="1"/>
  <c r="I23" i="43"/>
  <c r="O71" i="26" l="1"/>
  <c r="O44" i="26"/>
  <c r="O77" i="26"/>
  <c r="O15" i="41" l="1"/>
  <c r="O16" i="41" s="1"/>
  <c r="O20" i="41" s="1"/>
  <c r="O78" i="26"/>
  <c r="P17" i="41"/>
  <c r="O74" i="26"/>
  <c r="O75" i="26" s="1"/>
  <c r="Q181" i="31"/>
  <c r="P40" i="26" s="1"/>
  <c r="O72" i="26"/>
  <c r="P66" i="26" l="1"/>
  <c r="P41" i="26"/>
  <c r="P43" i="26" s="1"/>
  <c r="J23" i="43"/>
  <c r="P71" i="26" l="1"/>
  <c r="P44" i="26"/>
  <c r="P77" i="26"/>
  <c r="P78" i="26" l="1"/>
  <c r="P15" i="41"/>
  <c r="P16" i="41" s="1"/>
  <c r="P20" i="41" s="1"/>
  <c r="P74" i="26"/>
  <c r="P75" i="26" s="1"/>
  <c r="R181" i="31"/>
  <c r="Q40" i="26" s="1"/>
  <c r="P72" i="26"/>
  <c r="Q17" i="41"/>
  <c r="Q66" i="26" l="1"/>
  <c r="Q41" i="26"/>
  <c r="Q43" i="26" s="1"/>
  <c r="K23" i="43"/>
  <c r="Q44" i="26" l="1"/>
  <c r="Q77" i="26"/>
  <c r="Q71" i="26"/>
  <c r="Q78" i="26" l="1"/>
  <c r="Q15" i="41"/>
  <c r="Q16" i="41" s="1"/>
  <c r="Q20" i="41" s="1"/>
  <c r="Q74" i="26"/>
  <c r="Q75" i="26" s="1"/>
  <c r="R17" i="41"/>
  <c r="Q72" i="26"/>
  <c r="S181" i="31"/>
  <c r="R40" i="26" s="1"/>
  <c r="L23" i="43" l="1"/>
  <c r="R66" i="26"/>
  <c r="R41" i="26"/>
  <c r="R43" i="26" s="1"/>
  <c r="R77" i="26" l="1"/>
  <c r="R44" i="26"/>
  <c r="R71" i="26"/>
  <c r="S17" i="41" l="1"/>
  <c r="T181" i="31"/>
  <c r="S40" i="26" s="1"/>
  <c r="R74" i="26"/>
  <c r="R75" i="26" s="1"/>
  <c r="R72" i="26"/>
  <c r="R15" i="41"/>
  <c r="R16" i="41" s="1"/>
  <c r="R20" i="41" s="1"/>
  <c r="R78" i="26"/>
  <c r="M23" i="43" l="1"/>
  <c r="S66" i="26"/>
  <c r="S41" i="26"/>
  <c r="S43" i="26" s="1"/>
  <c r="S77" i="26" l="1"/>
  <c r="S44" i="26"/>
  <c r="S71" i="26"/>
  <c r="S72" i="26" l="1"/>
  <c r="S74" i="26"/>
  <c r="S75" i="26" s="1"/>
  <c r="S78" i="26"/>
  <c r="S15" i="41"/>
  <c r="S16" i="41" s="1"/>
  <c r="S20" i="41" s="1"/>
  <c r="N23" i="43" l="1"/>
  <c r="M27" i="53"/>
  <c r="M28" i="53"/>
  <c r="L83" i="26"/>
  <c r="L85" i="26" l="1"/>
  <c r="M24" i="53" s="1"/>
  <c r="M197" i="31"/>
  <c r="L86" i="26"/>
  <c r="M20" i="53" s="1"/>
  <c r="M22" i="53"/>
  <c r="M23" i="41"/>
  <c r="M35" i="35"/>
  <c r="M202" i="31" s="1"/>
  <c r="M36" i="35"/>
  <c r="M203" i="31" s="1"/>
  <c r="M37" i="35"/>
  <c r="M204" i="31" s="1"/>
  <c r="M38" i="35"/>
  <c r="M205" i="31" s="1"/>
  <c r="M39" i="35"/>
  <c r="M206" i="31" s="1"/>
  <c r="M40" i="35"/>
  <c r="M207" i="31" s="1"/>
  <c r="M41" i="35"/>
  <c r="M208" i="31" s="1"/>
  <c r="M42" i="35"/>
  <c r="M209" i="31" s="1"/>
  <c r="M18" i="35"/>
  <c r="M43" i="35"/>
  <c r="M210" i="31" s="1"/>
  <c r="M44" i="35"/>
  <c r="M211" i="31" s="1"/>
  <c r="M48" i="35"/>
  <c r="M215" i="31" s="1"/>
  <c r="M46" i="35"/>
  <c r="M213" i="31" s="1"/>
  <c r="M45" i="35"/>
  <c r="M212" i="31" s="1"/>
  <c r="M47" i="35"/>
  <c r="M214" i="31" s="1"/>
  <c r="M27" i="35"/>
  <c r="M29" i="35" l="1"/>
  <c r="N31" i="35"/>
  <c r="M18" i="41" s="1"/>
  <c r="M20" i="41" s="1"/>
  <c r="M31" i="35"/>
  <c r="L18" i="41" s="1"/>
  <c r="H23" i="43" l="1"/>
  <c r="M225" i="31"/>
  <c r="L16" i="41"/>
  <c r="L20" i="41" s="1"/>
  <c r="E23" i="43" s="1"/>
  <c r="M174" i="31"/>
  <c r="M181" i="31" s="1"/>
  <c r="L22" i="41" l="1"/>
  <c r="L25" i="41" s="1"/>
  <c r="L28" i="41" l="1"/>
  <c r="M21" i="41"/>
  <c r="M22" i="41" l="1"/>
  <c r="M25" i="41" s="1"/>
  <c r="M27" i="41" s="1"/>
  <c r="E24" i="43" s="1"/>
  <c r="E25" i="43" s="1"/>
  <c r="M81" i="26"/>
  <c r="E28" i="43" l="1"/>
  <c r="E27" i="43" s="1"/>
  <c r="E26" i="43"/>
  <c r="N28" i="53"/>
  <c r="N27" i="53"/>
  <c r="M83" i="26"/>
  <c r="M28" i="41"/>
  <c r="M84" i="26" l="1"/>
  <c r="M85" i="26" s="1"/>
  <c r="N22" i="53" l="1"/>
  <c r="M86" i="26"/>
  <c r="N20" i="53" s="1"/>
  <c r="N24" i="53"/>
  <c r="N23" i="41"/>
  <c r="N21" i="41" s="1"/>
  <c r="N22" i="41" l="1"/>
  <c r="N25" i="41" s="1"/>
  <c r="N27" i="41" s="1"/>
  <c r="N81" i="26"/>
  <c r="O28" i="53" l="1"/>
  <c r="N83" i="26"/>
  <c r="O27" i="53"/>
  <c r="N28" i="41"/>
  <c r="N84" i="26" l="1"/>
  <c r="N85" i="26" s="1"/>
  <c r="N86" i="26" l="1"/>
  <c r="O20" i="53" s="1"/>
  <c r="O23" i="41"/>
  <c r="O21" i="41" s="1"/>
  <c r="O24" i="53"/>
  <c r="O22" i="53"/>
  <c r="O81" i="26" l="1"/>
  <c r="O22" i="41"/>
  <c r="O25" i="41" s="1"/>
  <c r="O27" i="41" s="1"/>
  <c r="O28" i="41" l="1"/>
  <c r="O83" i="26"/>
  <c r="P27" i="53"/>
  <c r="P28" i="53"/>
  <c r="O84" i="26" l="1"/>
  <c r="O85" i="26" s="1"/>
  <c r="P23" i="41" l="1"/>
  <c r="P21" i="41" s="1"/>
  <c r="P24" i="53"/>
  <c r="P22" i="53"/>
  <c r="O86" i="26"/>
  <c r="P20" i="53" s="1"/>
  <c r="P22" i="41" l="1"/>
  <c r="P25" i="41" s="1"/>
  <c r="P27" i="41" s="1"/>
  <c r="P81" i="26"/>
  <c r="Q28" i="53" l="1"/>
  <c r="P83" i="26"/>
  <c r="Q27" i="53"/>
  <c r="P28" i="41"/>
  <c r="P84" i="26" l="1"/>
  <c r="P85" i="26" s="1"/>
  <c r="Q23" i="41" l="1"/>
  <c r="Q21" i="41" s="1"/>
  <c r="Q22" i="53"/>
  <c r="P86" i="26"/>
  <c r="Q20" i="53" s="1"/>
  <c r="Q24" i="53"/>
  <c r="Q81" i="26" l="1"/>
  <c r="Q22" i="41"/>
  <c r="Q25" i="41" s="1"/>
  <c r="Q27" i="41" s="1"/>
  <c r="Q28" i="41" l="1"/>
  <c r="R28" i="53"/>
  <c r="R27" i="53"/>
  <c r="Q83" i="26"/>
  <c r="Q84" i="26" l="1"/>
  <c r="Q85" i="26" s="1"/>
  <c r="R22" i="53" l="1"/>
  <c r="Q86" i="26"/>
  <c r="R20" i="53" s="1"/>
  <c r="R24" i="53"/>
  <c r="R23" i="41"/>
  <c r="R21" i="41" s="1"/>
  <c r="R22" i="41" l="1"/>
  <c r="R25" i="41" s="1"/>
  <c r="R27" i="41" s="1"/>
  <c r="R81" i="26"/>
  <c r="S28" i="53" l="1"/>
  <c r="S27" i="53"/>
  <c r="R83" i="26"/>
  <c r="R28" i="41"/>
  <c r="R84" i="26" l="1"/>
  <c r="R85" i="26" s="1"/>
  <c r="S24" i="53" l="1"/>
  <c r="S23" i="41"/>
  <c r="S21" i="41" s="1"/>
  <c r="R86" i="26"/>
  <c r="S20" i="53" s="1"/>
  <c r="S22" i="53"/>
  <c r="S81" i="26" l="1"/>
  <c r="S22" i="41"/>
  <c r="S25" i="41" s="1"/>
  <c r="S27" i="41" s="1"/>
  <c r="S28" i="41" s="1"/>
  <c r="T28" i="53" l="1"/>
  <c r="S83" i="26"/>
  <c r="T27" i="53"/>
  <c r="S84" i="26" l="1"/>
  <c r="S85" i="26" s="1"/>
  <c r="T24" i="53" l="1"/>
  <c r="T22" i="53"/>
  <c r="S86" i="26"/>
  <c r="T20" i="5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tc={0BCB065C-2A04-4579-AA19-809D4C61962A}</author>
    <author>tc={833548C4-2458-4638-A8E1-030B2436C66D}</author>
    <author>tc={303583A9-B105-4679-BED9-47855687E117}</author>
    <author>Diego Garcia - SLC Agrícola</author>
    <author>Stefano Bing - SLC Agrícola</author>
  </authors>
  <commentList>
    <comment ref="L7" authorId="0" shapeId="0" xr:uid="{0BCB065C-2A04-4579-AA19-809D4C61962A}">
      <text>
        <t>[Comentário encadeado]
Sua versão do Excel permite que você leia este comentário encadeado, no entanto, as edições serão removidas se o arquivo for aberto em uma versão mais recente do Excel. Saiba mais: https://go.microsoft.com/fwlink/?linkid=870924
Comentário:
    Safra 2019/20</t>
      </text>
    </comment>
    <comment ref="M7" authorId="1" shapeId="0" xr:uid="{833548C4-2458-4638-A8E1-030B2436C66D}">
      <text>
        <t>[Comentário encadeado]
Sua versão do Excel permite que você leia este comentário encadeado, no entanto, as edições serão removidas se o arquivo for aberto em uma versão mais recente do Excel. Saiba mais: https://go.microsoft.com/fwlink/?linkid=870924
Comentário:
    Safra 20/21</t>
      </text>
    </comment>
    <comment ref="N7" authorId="2" shapeId="0" xr:uid="{303583A9-B105-4679-BED9-47855687E117}">
      <text>
        <t>[Comentário encadeado]
Sua versão do Excel permite que você leia este comentário encadeado, no entanto, as edições serão removidas se o arquivo for aberto em uma versão mais recente do Excel. Saiba mais: https://go.microsoft.com/fwlink/?linkid=870924
Comentário:
    Ano Safra 21/22
Crop year 21/22</t>
      </text>
    </comment>
    <comment ref="B10" authorId="3" shapeId="0" xr:uid="{00000000-0006-0000-0100-000001000000}">
      <text>
        <r>
          <rPr>
            <sz val="8"/>
            <color indexed="81"/>
            <rFont val="Segoe UI"/>
            <family val="2"/>
          </rPr>
          <t>Enter the planted area for the crop.</t>
        </r>
      </text>
    </comment>
    <comment ref="B12" authorId="3" shapeId="0" xr:uid="{00000000-0006-0000-0100-000002000000}">
      <text>
        <r>
          <rPr>
            <sz val="8"/>
            <color indexed="81"/>
            <rFont val="Segoe UI"/>
            <family val="2"/>
          </rPr>
          <t>Enter the planted area for the crop.</t>
        </r>
      </text>
    </comment>
    <comment ref="B13" authorId="3" shapeId="0" xr:uid="{00000000-0006-0000-0100-000003000000}">
      <text>
        <r>
          <rPr>
            <sz val="8"/>
            <color indexed="81"/>
            <rFont val="Segoe UI"/>
            <family val="2"/>
          </rPr>
          <t>Enter the planted area for the crop.</t>
        </r>
      </text>
    </comment>
    <comment ref="B15" authorId="3" shapeId="0" xr:uid="{00000000-0006-0000-0100-000004000000}">
      <text>
        <r>
          <rPr>
            <sz val="8"/>
            <color indexed="81"/>
            <rFont val="Segoe UI"/>
            <family val="2"/>
          </rPr>
          <t>Enter the planted area for the crop.</t>
        </r>
      </text>
    </comment>
    <comment ref="B16" authorId="3" shapeId="0" xr:uid="{00000000-0006-0000-0100-000005000000}">
      <text>
        <r>
          <rPr>
            <sz val="8"/>
            <color indexed="81"/>
            <rFont val="Segoe UI"/>
            <family val="2"/>
          </rPr>
          <t xml:space="preserve">Enter the planted area for the crop.
</t>
        </r>
      </text>
    </comment>
    <comment ref="B17" authorId="3" shapeId="0" xr:uid="{00000000-0006-0000-0100-000006000000}">
      <text>
        <r>
          <rPr>
            <sz val="8"/>
            <color indexed="81"/>
            <rFont val="Segoe UI"/>
            <family val="2"/>
          </rPr>
          <t>Enter the planted area for the crop.</t>
        </r>
      </text>
    </comment>
    <comment ref="B24" authorId="3" shapeId="0" xr:uid="{00000000-0006-0000-0100-000007000000}">
      <text>
        <r>
          <rPr>
            <sz val="8"/>
            <color indexed="81"/>
            <rFont val="Segoe UI"/>
            <family val="2"/>
          </rPr>
          <t xml:space="preserve">Insert the estimate of costs (in bags of soy) per hectare leased.
</t>
        </r>
      </text>
    </comment>
    <comment ref="B27" authorId="3" shapeId="0" xr:uid="{00000000-0006-0000-0100-000008000000}">
      <text>
        <r>
          <rPr>
            <sz val="8"/>
            <color indexed="81"/>
            <rFont val="Segoe UI"/>
            <family val="2"/>
          </rPr>
          <t>Enter a Planting Estimate (in Areas) of our Land Bank.</t>
        </r>
      </text>
    </comment>
    <comment ref="B28" authorId="3" shapeId="0" xr:uid="{00000000-0006-0000-0100-000009000000}">
      <text>
        <r>
          <rPr>
            <sz val="8"/>
            <color indexed="81"/>
            <rFont val="Segoe UI"/>
            <family val="2"/>
          </rPr>
          <t>Insert in the sheet Land Sales and Purchase the intentions of purchases/sales.</t>
        </r>
      </text>
    </comment>
    <comment ref="B30" authorId="3" shapeId="0" xr:uid="{00000000-0006-0000-0100-00000A000000}">
      <text>
        <r>
          <rPr>
            <sz val="8"/>
            <color indexed="81"/>
            <rFont val="Segoe UI"/>
            <family val="2"/>
          </rPr>
          <t>Current basis of leased areas according to Release.</t>
        </r>
      </text>
    </comment>
    <comment ref="B31" authorId="3" shapeId="0" xr:uid="{00000000-0006-0000-0100-00000C000000}">
      <text>
        <r>
          <rPr>
            <sz val="8"/>
            <color indexed="81"/>
            <rFont val="Segoe UI"/>
            <family val="2"/>
          </rPr>
          <t xml:space="preserve">Enter the increase of leased areas.
</t>
        </r>
      </text>
    </comment>
    <comment ref="B36" authorId="3" shapeId="0" xr:uid="{00000000-0006-0000-0100-00000D000000}">
      <text>
        <r>
          <rPr>
            <b/>
            <sz val="8"/>
            <color indexed="81"/>
            <rFont val="Segoe UI"/>
            <family val="2"/>
          </rPr>
          <t>Take into account information from the Land Bank for growth of planted area.</t>
        </r>
        <r>
          <rPr>
            <sz val="8"/>
            <color indexed="81"/>
            <rFont val="Segoe UI"/>
            <family val="2"/>
          </rPr>
          <t xml:space="preserve">
</t>
        </r>
      </text>
    </comment>
    <comment ref="B42" authorId="3" shapeId="0" xr:uid="{00000000-0006-0000-0100-00000E000000}">
      <text>
        <r>
          <rPr>
            <sz val="8"/>
            <color indexed="81"/>
            <rFont val="Segoe UI"/>
            <family val="2"/>
          </rPr>
          <t>Enter an estimated productivity for each crop.</t>
        </r>
      </text>
    </comment>
    <comment ref="B54" authorId="3" shapeId="0" xr:uid="{00000000-0006-0000-0100-00000F000000}">
      <text>
        <r>
          <rPr>
            <sz val="8"/>
            <color indexed="81"/>
            <rFont val="Segoe UI"/>
            <family val="2"/>
          </rPr>
          <t xml:space="preserve">Enter the estimative of price of the commodity.
</t>
        </r>
      </text>
    </comment>
    <comment ref="B56" authorId="3" shapeId="0" xr:uid="{00000000-0006-0000-0100-000010000000}">
      <text>
        <r>
          <rPr>
            <sz val="8"/>
            <color indexed="81"/>
            <rFont val="Segoe UI"/>
            <family val="2"/>
          </rPr>
          <t>Enter the estimative of price of the commodity.</t>
        </r>
      </text>
    </comment>
    <comment ref="B67" authorId="3" shapeId="0" xr:uid="{00000000-0006-0000-0100-000011000000}">
      <text>
        <r>
          <rPr>
            <sz val="8"/>
            <color indexed="81"/>
            <rFont val="Segoe UI"/>
            <family val="2"/>
          </rPr>
          <t xml:space="preserve">Enter the estimative of premium of the commodity
</t>
        </r>
      </text>
    </comment>
    <comment ref="B69" authorId="3" shapeId="0" xr:uid="{00000000-0006-0000-0100-000012000000}">
      <text>
        <r>
          <rPr>
            <sz val="8"/>
            <color indexed="81"/>
            <rFont val="Segoe UI"/>
            <family val="2"/>
          </rPr>
          <t xml:space="preserve">Enter the estimative of premium of the commodity
</t>
        </r>
      </text>
    </comment>
    <comment ref="B85" authorId="3" shapeId="0" xr:uid="{00000000-0006-0000-0100-000013000000}">
      <text>
        <r>
          <rPr>
            <b/>
            <sz val="8"/>
            <color indexed="81"/>
            <rFont val="Segoe UI"/>
            <family val="2"/>
          </rPr>
          <t>Enter the percentage of sales according to the Release.</t>
        </r>
      </text>
    </comment>
    <comment ref="B87" authorId="3" shapeId="0" xr:uid="{00000000-0006-0000-0100-000014000000}">
      <text>
        <r>
          <rPr>
            <b/>
            <sz val="8"/>
            <color indexed="81"/>
            <rFont val="Segoe UI"/>
            <family val="2"/>
          </rPr>
          <t>Enter the percentage of sales according to the Release.</t>
        </r>
      </text>
    </comment>
    <comment ref="B96" authorId="3" shapeId="0" xr:uid="{00000000-0006-0000-0100-000015000000}">
      <text>
        <r>
          <rPr>
            <b/>
            <sz val="8"/>
            <color indexed="81"/>
            <rFont val="Segoe UI"/>
            <family val="2"/>
          </rPr>
          <t>Enter the sales price according to the Release.</t>
        </r>
      </text>
    </comment>
    <comment ref="B98" authorId="3" shapeId="0" xr:uid="{00000000-0006-0000-0100-000016000000}">
      <text>
        <r>
          <rPr>
            <b/>
            <sz val="8"/>
            <color indexed="81"/>
            <rFont val="Segoe UI"/>
            <family val="2"/>
          </rPr>
          <t>Enter the sales price according to the Release.</t>
        </r>
      </text>
    </comment>
    <comment ref="B102" authorId="4" shapeId="0" xr:uid="{ED4D1DFF-08AD-4F9B-9DE9-39FBE83DDD53}">
      <text>
        <r>
          <rPr>
            <sz val="9"/>
            <color indexed="81"/>
            <rFont val="Segoe UI"/>
            <charset val="1"/>
          </rPr>
          <t>Preço untário tabela resultado bruto</t>
        </r>
      </text>
    </comment>
    <comment ref="B118" authorId="3" shapeId="0" xr:uid="{00000000-0006-0000-0100-000017000000}">
      <text>
        <r>
          <rPr>
            <sz val="8"/>
            <color indexed="81"/>
            <rFont val="Segoe UI"/>
            <family val="2"/>
          </rPr>
          <t xml:space="preserve">Enter the estimated logistics.
</t>
        </r>
      </text>
    </comment>
    <comment ref="B123" authorId="3" shapeId="0" xr:uid="{00000000-0006-0000-0100-000018000000}">
      <text>
        <r>
          <rPr>
            <sz val="8"/>
            <color indexed="81"/>
            <rFont val="Segoe UI"/>
            <family val="2"/>
          </rPr>
          <t xml:space="preserve">Enter the FX rate sales according to the Release.
</t>
        </r>
      </text>
    </comment>
    <comment ref="B129" authorId="3" shapeId="0" xr:uid="{00000000-0006-0000-0100-000019000000}">
      <text>
        <r>
          <rPr>
            <sz val="8"/>
            <color indexed="81"/>
            <rFont val="Segoe UI"/>
            <family val="2"/>
          </rPr>
          <t xml:space="preserve">Enter forecast of FX rate (SPOT).
</t>
        </r>
      </text>
    </comment>
    <comment ref="B130" authorId="3" shapeId="0" xr:uid="{00000000-0006-0000-0100-00001A000000}">
      <text>
        <r>
          <rPr>
            <sz val="8"/>
            <color indexed="81"/>
            <rFont val="Segoe UI"/>
            <family val="2"/>
          </rPr>
          <t xml:space="preserve">DI/Cupom Cambial
</t>
        </r>
      </text>
    </comment>
    <comment ref="B134" authorId="3" shapeId="0" xr:uid="{00000000-0006-0000-0100-00001B000000}">
      <text>
        <r>
          <rPr>
            <sz val="8"/>
            <color indexed="81"/>
            <rFont val="Segoe UI"/>
            <family val="2"/>
          </rPr>
          <t xml:space="preserve">Insert the estimative of sales taxes.
</t>
        </r>
      </text>
    </comment>
    <comment ref="B144" authorId="3" shapeId="0" xr:uid="{00000000-0006-0000-0100-00001C000000}">
      <text>
        <r>
          <rPr>
            <sz val="8"/>
            <color indexed="81"/>
            <rFont val="Segoe UI"/>
            <family val="2"/>
          </rPr>
          <t xml:space="preserve">Enter the Production Cost without depreciation and amortization. (See information in the Release)
</t>
        </r>
      </text>
    </comment>
    <comment ref="B152" authorId="4" shapeId="0" xr:uid="{CEF8F9AF-F366-49E5-A717-DF0A829742C3}">
      <text>
        <r>
          <rPr>
            <sz val="9"/>
            <color indexed="81"/>
            <rFont val="Segoe UI"/>
            <charset val="1"/>
          </rPr>
          <t>Other products in R$</t>
        </r>
      </text>
    </comment>
    <comment ref="N152" authorId="4" shapeId="0" xr:uid="{795219BE-CD14-4EB9-AE1B-3E3E4B29E4AC}">
      <text>
        <r>
          <rPr>
            <b/>
            <sz val="9"/>
            <color indexed="81"/>
            <rFont val="Segoe UI"/>
            <charset val="1"/>
          </rPr>
          <t>Stefano Bing - SLC Agrícola:</t>
        </r>
        <r>
          <rPr>
            <sz val="9"/>
            <color indexed="81"/>
            <rFont val="Segoe UI"/>
            <charset val="1"/>
          </rPr>
          <t xml:space="preserve">
resto</t>
        </r>
      </text>
    </comment>
    <comment ref="B153" authorId="4" shapeId="0" xr:uid="{8BA55057-14BB-4BE5-A300-75A9D9FFC7AF}">
      <text>
        <r>
          <rPr>
            <sz val="9"/>
            <color indexed="81"/>
            <rFont val="Segoe UI"/>
            <charset val="1"/>
          </rPr>
          <t>defensivos, fertilizantes + sementes</t>
        </r>
      </text>
    </comment>
    <comment ref="N153" authorId="4" shapeId="0" xr:uid="{86AFAA11-7FC7-4403-BF92-F30FB32F2CEB}">
      <text>
        <r>
          <rPr>
            <sz val="9"/>
            <color indexed="81"/>
            <rFont val="Segoe UI"/>
            <charset val="1"/>
          </rPr>
          <t>defensivos, fertilizantes + sementes</t>
        </r>
      </text>
    </comment>
    <comment ref="B155" authorId="3" shapeId="0" xr:uid="{00000000-0006-0000-0100-00001D000000}">
      <text>
        <r>
          <rPr>
            <sz val="8"/>
            <color indexed="81"/>
            <rFont val="Segoe UI"/>
            <family val="2"/>
          </rPr>
          <t xml:space="preserve">Increase related to fx rate of the revenue.
</t>
        </r>
      </text>
    </comment>
    <comment ref="B165" authorId="3" shapeId="0" xr:uid="{00000000-0006-0000-0100-00001E000000}">
      <text>
        <r>
          <rPr>
            <sz val="8"/>
            <color indexed="81"/>
            <rFont val="Segoe UI"/>
            <family val="2"/>
          </rPr>
          <t xml:space="preserve">An increase linked to the cost of production in R$
</t>
        </r>
      </text>
    </comment>
    <comment ref="B169" authorId="3" shapeId="0" xr:uid="{00000000-0006-0000-0100-00001F000000}">
      <text>
        <r>
          <rPr>
            <sz val="8"/>
            <color indexed="81"/>
            <rFont val="Segoe UI"/>
            <family val="2"/>
          </rPr>
          <t>SLC Agricola distributes 9% of net Profit (Profit Sharing to employees).</t>
        </r>
      </text>
    </comment>
    <comment ref="B174" authorId="3" shapeId="0" xr:uid="{00000000-0006-0000-0100-000020000000}">
      <text>
        <r>
          <rPr>
            <sz val="8"/>
            <color indexed="81"/>
            <rFont val="Segoe UI"/>
            <family val="2"/>
          </rPr>
          <t xml:space="preserve">Insert the assumption according to Ebitda generated in the previous year. </t>
        </r>
        <r>
          <rPr>
            <b/>
            <sz val="8"/>
            <color indexed="81"/>
            <rFont val="Segoe UI"/>
            <family val="2"/>
          </rPr>
          <t>(Excluding land)</t>
        </r>
        <r>
          <rPr>
            <sz val="8"/>
            <color indexed="81"/>
            <rFont val="Segoe UI"/>
            <family val="2"/>
          </rPr>
          <t xml:space="preserve">
</t>
        </r>
      </text>
    </comment>
    <comment ref="B187" authorId="3" shapeId="0" xr:uid="{00000000-0006-0000-0100-000021000000}">
      <text>
        <r>
          <rPr>
            <sz val="8"/>
            <color indexed="81"/>
            <rFont val="Segoe UI"/>
            <family val="2"/>
          </rPr>
          <t xml:space="preserve">Enter the estimate of selling expenses.
</t>
        </r>
      </text>
    </comment>
    <comment ref="M192" authorId="4" shapeId="0" xr:uid="{1CA58B05-C6A5-445E-BCED-1DA6CAF78B20}">
      <text>
        <r>
          <rPr>
            <b/>
            <sz val="9"/>
            <color indexed="81"/>
            <rFont val="Segoe UI"/>
            <charset val="1"/>
          </rPr>
          <t>Stefano Bing - SLC Agrícola:</t>
        </r>
        <r>
          <rPr>
            <sz val="9"/>
            <color indexed="81"/>
            <rFont val="Segoe UI"/>
            <charset val="1"/>
          </rPr>
          <t xml:space="preserve">
vide tabela divida release</t>
        </r>
      </text>
    </comment>
    <comment ref="M193" authorId="4" shapeId="0" xr:uid="{B788948E-D418-4B83-9280-E29ACAE21956}">
      <text>
        <r>
          <rPr>
            <b/>
            <sz val="9"/>
            <color indexed="81"/>
            <rFont val="Segoe UI"/>
            <charset val="1"/>
          </rPr>
          <t>Stefano Bing - SLC Agrícola:</t>
        </r>
        <r>
          <rPr>
            <sz val="9"/>
            <color indexed="81"/>
            <rFont val="Segoe UI"/>
            <charset val="1"/>
          </rPr>
          <t xml:space="preserve">
cdi acumulado 12M até Novembro/2021</t>
        </r>
      </text>
    </comment>
    <comment ref="B200" authorId="3" shapeId="0" xr:uid="{00000000-0006-0000-0100-000022000000}">
      <text>
        <r>
          <rPr>
            <sz val="8"/>
            <color indexed="81"/>
            <rFont val="Segoe UI"/>
            <family val="2"/>
          </rPr>
          <t xml:space="preserve">Abertura no Release
</t>
        </r>
      </text>
    </comment>
    <comment ref="B217" authorId="3" shapeId="0" xr:uid="{00000000-0006-0000-0100-000023000000}">
      <text>
        <r>
          <rPr>
            <sz val="8"/>
            <color indexed="81"/>
            <rFont val="Segoe UI"/>
            <family val="2"/>
          </rPr>
          <t xml:space="preserve">Verify in the modeling manual the assumptions for Revenue and biological cost.
</t>
        </r>
      </text>
    </comment>
    <comment ref="M219" authorId="4" shapeId="0" xr:uid="{A14B6B60-C455-48BC-93D4-5123EEE9FAE4}">
      <text>
        <r>
          <rPr>
            <sz val="9"/>
            <color indexed="81"/>
            <rFont val="Segoe UI"/>
            <charset val="1"/>
          </rPr>
          <t>Acumul 9M21</t>
        </r>
      </text>
    </comment>
    <comment ref="M220" authorId="4" shapeId="0" xr:uid="{2410CAEA-D2F1-4258-B43D-181227773416}">
      <text>
        <r>
          <rPr>
            <sz val="9"/>
            <color indexed="81"/>
            <rFont val="Segoe UI"/>
            <charset val="1"/>
          </rPr>
          <t>Acumul 9M21</t>
        </r>
      </text>
    </comment>
    <comment ref="B225" authorId="3" shapeId="0" xr:uid="{00000000-0006-0000-0100-000024000000}">
      <text>
        <r>
          <rPr>
            <sz val="8"/>
            <color indexed="81"/>
            <rFont val="Segoe UI"/>
            <family val="2"/>
          </rPr>
          <t xml:space="preserve">Insert the assumptions of disbursement of IRPJ / CS, because the amount paid is not 100% of the Income Statatement.
</t>
        </r>
      </text>
    </comment>
    <comment ref="B242" authorId="3" shapeId="0" xr:uid="{00000000-0006-0000-0100-000025000000}">
      <text>
        <r>
          <rPr>
            <sz val="8"/>
            <color indexed="81"/>
            <rFont val="Segoe UI"/>
            <family val="2"/>
          </rPr>
          <t xml:space="preserve">WACC = (E/V)*Re + (D/V)*Rd*(1-Tc)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Diego Garcia - SLC Agrícola</author>
  </authors>
  <commentList>
    <comment ref="B9" authorId="0" shapeId="0" xr:uid="{00000000-0006-0000-0200-000001000000}">
      <text>
        <r>
          <rPr>
            <sz val="8"/>
            <color indexed="81"/>
            <rFont val="Segoe UI"/>
            <family val="2"/>
          </rPr>
          <t xml:space="preserve">Enter an area to be sold.
</t>
        </r>
      </text>
    </comment>
    <comment ref="B10" authorId="0" shapeId="0" xr:uid="{00000000-0006-0000-0200-000002000000}">
      <text>
        <r>
          <rPr>
            <sz val="8"/>
            <color indexed="81"/>
            <rFont val="Segoe UI"/>
            <family val="2"/>
          </rPr>
          <t>Enter purchase value</t>
        </r>
      </text>
    </comment>
    <comment ref="B16" authorId="0" shapeId="0" xr:uid="{00000000-0006-0000-0200-000003000000}">
      <text>
        <r>
          <rPr>
            <sz val="8"/>
            <color indexed="81"/>
            <rFont val="Segoe UI"/>
            <family val="2"/>
          </rPr>
          <t>Enter an area to be bought.</t>
        </r>
      </text>
    </comment>
    <comment ref="B17" authorId="0" shapeId="0" xr:uid="{00000000-0006-0000-0200-000004000000}">
      <text>
        <r>
          <rPr>
            <sz val="8"/>
            <color indexed="81"/>
            <rFont val="Segoe UI"/>
            <family val="2"/>
          </rPr>
          <t xml:space="preserve">Enter acquisition value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Angela Pedron</author>
  </authors>
  <commentList>
    <comment ref="C18" authorId="0" shapeId="0" xr:uid="{00000000-0006-0000-0900-000001000000}">
      <text>
        <r>
          <rPr>
            <sz val="8"/>
            <color indexed="81"/>
            <rFont val="Tahoma"/>
            <family val="2"/>
          </rPr>
          <t xml:space="preserve">
</t>
        </r>
        <r>
          <rPr>
            <b/>
            <sz val="8"/>
            <color indexed="81"/>
            <rFont val="Tahoma"/>
            <family val="2"/>
          </rPr>
          <t>WACC = (E/V)*Re + (D/V)*Rd*(1-Tc)</t>
        </r>
      </text>
    </comment>
  </commentList>
</comments>
</file>

<file path=xl/sharedStrings.xml><?xml version="1.0" encoding="utf-8"?>
<sst xmlns="http://schemas.openxmlformats.org/spreadsheetml/2006/main" count="814" uniqueCount="391">
  <si>
    <t>Total</t>
  </si>
  <si>
    <t>Fiscal Year</t>
  </si>
  <si>
    <t>SLC Agrícola</t>
  </si>
  <si>
    <t>R</t>
  </si>
  <si>
    <t>P</t>
  </si>
  <si>
    <t>Mercado Interno</t>
  </si>
  <si>
    <t>Variação de Custo</t>
  </si>
  <si>
    <t>Custo de Produção Ajustado</t>
  </si>
  <si>
    <t>Hectares</t>
  </si>
  <si>
    <t>CBOT</t>
  </si>
  <si>
    <t>USD / bushel</t>
  </si>
  <si>
    <t>NYBOT</t>
  </si>
  <si>
    <t>USD cents/lp</t>
  </si>
  <si>
    <t>2013/14</t>
  </si>
  <si>
    <t>2014/15</t>
  </si>
  <si>
    <t>2015/16</t>
  </si>
  <si>
    <t>2016/17</t>
  </si>
  <si>
    <t>2017/18</t>
  </si>
  <si>
    <t>2018/19</t>
  </si>
  <si>
    <t>2019/20</t>
  </si>
  <si>
    <t>2020/21</t>
  </si>
  <si>
    <t>%</t>
  </si>
  <si>
    <t>Aumento/Redução de Custos</t>
  </si>
  <si>
    <t>Total SG&amp;A</t>
  </si>
  <si>
    <t>Total EBITDA</t>
  </si>
  <si>
    <t>Total EBIT</t>
  </si>
  <si>
    <t>Income Statement</t>
  </si>
  <si>
    <t>Balance Sheet</t>
  </si>
  <si>
    <t>Work Capital</t>
  </si>
  <si>
    <t>Valuation</t>
  </si>
  <si>
    <t>US Benchmark rate (FEDREF)</t>
  </si>
  <si>
    <t>Inflation Differential</t>
  </si>
  <si>
    <t>Market Risk Premium</t>
  </si>
  <si>
    <t>Beta</t>
  </si>
  <si>
    <t>WACC</t>
  </si>
  <si>
    <t>P/E</t>
  </si>
  <si>
    <t>Total Assets</t>
  </si>
  <si>
    <t>Check</t>
  </si>
  <si>
    <t>Indicators</t>
  </si>
  <si>
    <t>Depreciation</t>
  </si>
  <si>
    <t>2021/22</t>
  </si>
  <si>
    <t>2022/23</t>
  </si>
  <si>
    <t>2023/24</t>
  </si>
  <si>
    <t>2022P</t>
  </si>
  <si>
    <t>2023P</t>
  </si>
  <si>
    <t>&gt;=1</t>
  </si>
  <si>
    <t>&gt;= 1,2</t>
  </si>
  <si>
    <t>landco</t>
  </si>
  <si>
    <t>Po</t>
  </si>
  <si>
    <t>PD</t>
  </si>
  <si>
    <t>2024P</t>
  </si>
  <si>
    <t>2025P</t>
  </si>
  <si>
    <t>R$ / Ton</t>
  </si>
  <si>
    <t>2014</t>
  </si>
  <si>
    <t>2015</t>
  </si>
  <si>
    <t>2016</t>
  </si>
  <si>
    <t>2017</t>
  </si>
  <si>
    <t>2018</t>
  </si>
  <si>
    <t>2019</t>
  </si>
  <si>
    <t>2020</t>
  </si>
  <si>
    <t>2021</t>
  </si>
  <si>
    <t>2022</t>
  </si>
  <si>
    <t>2023</t>
  </si>
  <si>
    <t>2024</t>
  </si>
  <si>
    <t>SG&amp;A (-)</t>
  </si>
  <si>
    <t>CAPEX (-)</t>
  </si>
  <si>
    <t>R$ (000)</t>
  </si>
  <si>
    <t>2025</t>
  </si>
  <si>
    <t>2026</t>
  </si>
  <si>
    <t>2027</t>
  </si>
  <si>
    <t>2028</t>
  </si>
  <si>
    <t>2024/25</t>
  </si>
  <si>
    <t>2025/26</t>
  </si>
  <si>
    <t>2026/27</t>
  </si>
  <si>
    <t>2027/28</t>
  </si>
  <si>
    <t>R$/ha</t>
  </si>
  <si>
    <t>2012/13</t>
  </si>
  <si>
    <t>2026P</t>
  </si>
  <si>
    <t>2027P</t>
  </si>
  <si>
    <t>2028P</t>
  </si>
  <si>
    <t>Ano Fiscal</t>
  </si>
  <si>
    <t>NOPAT</t>
  </si>
  <si>
    <t>R$/USD</t>
  </si>
  <si>
    <t>Dashboard</t>
  </si>
  <si>
    <t>Ebitda (=)</t>
  </si>
  <si>
    <t xml:space="preserve">Cash Flow </t>
  </si>
  <si>
    <t>Total EBITDA - Farming</t>
  </si>
  <si>
    <t>Cells to be filled</t>
  </si>
  <si>
    <t>Cells Filled</t>
  </si>
  <si>
    <t>Soybean</t>
  </si>
  <si>
    <t>Cotton</t>
  </si>
  <si>
    <t>1st Crop</t>
  </si>
  <si>
    <t>2nd Crop</t>
  </si>
  <si>
    <t>Corn</t>
  </si>
  <si>
    <t>Other crops</t>
  </si>
  <si>
    <t>Total area (ha)</t>
  </si>
  <si>
    <t>Owned</t>
  </si>
  <si>
    <t>Bags/ha</t>
  </si>
  <si>
    <t>Owned Areas in ha</t>
  </si>
  <si>
    <t>Land Bank</t>
  </si>
  <si>
    <t>Sale / Purchase of Land</t>
  </si>
  <si>
    <t>Total Own Areas</t>
  </si>
  <si>
    <t>Addition / Reduction of Leased Areas</t>
  </si>
  <si>
    <t>Total Leased Areas</t>
  </si>
  <si>
    <t>Land Bank (information for increase of area)</t>
  </si>
  <si>
    <t>Areas under transformation</t>
  </si>
  <si>
    <t>Total Land Bank</t>
  </si>
  <si>
    <t>Productivity</t>
  </si>
  <si>
    <t xml:space="preserve">Soybean - kg/ha </t>
  </si>
  <si>
    <t xml:space="preserve">Cotton Lint - kg/ha </t>
  </si>
  <si>
    <t xml:space="preserve">Cotton Seed - kg/ha </t>
  </si>
  <si>
    <t xml:space="preserve">Corn - kg/ha </t>
  </si>
  <si>
    <t xml:space="preserve">1st Crop - kg/ha </t>
  </si>
  <si>
    <t xml:space="preserve">2nd Crop - kg/ha </t>
  </si>
  <si>
    <t>Cotton Lint</t>
  </si>
  <si>
    <t>Reference Esalq Campinas-SP</t>
  </si>
  <si>
    <t>Correlation</t>
  </si>
  <si>
    <t>R$/bag</t>
  </si>
  <si>
    <t>Cotton Seed</t>
  </si>
  <si>
    <t>Average price of Commodities (Sold + To be sold)</t>
  </si>
  <si>
    <t>Average R$/USD</t>
  </si>
  <si>
    <t>Other Crops and New Projects</t>
  </si>
  <si>
    <t>Revenue (% / Gross Revenue)</t>
  </si>
  <si>
    <t>Costs (% / Gross Revenue)</t>
  </si>
  <si>
    <t>Corn (2nd Crop)</t>
  </si>
  <si>
    <t>Corn Average</t>
  </si>
  <si>
    <t>Cotton 2nd crop</t>
  </si>
  <si>
    <t>Cotton Average</t>
  </si>
  <si>
    <t>Cost of Production in R$</t>
  </si>
  <si>
    <t>Cost of Production in US$</t>
  </si>
  <si>
    <t>Increase in Reais (inflation)</t>
  </si>
  <si>
    <t>Increase in dollar</t>
  </si>
  <si>
    <t>Administrative expenses / Net Revenue</t>
  </si>
  <si>
    <t>Inflation</t>
  </si>
  <si>
    <t>CAPEX ( % Ebitda of last year)</t>
  </si>
  <si>
    <t>Total depreciation</t>
  </si>
  <si>
    <t>reduction of current depreciation</t>
  </si>
  <si>
    <t>Additional depreciation</t>
  </si>
  <si>
    <t>Depreciation (average in years)</t>
  </si>
  <si>
    <t>Sales expenses</t>
  </si>
  <si>
    <t>% / Net revenue</t>
  </si>
  <si>
    <t>Debt interest</t>
  </si>
  <si>
    <t>Historical CDI</t>
  </si>
  <si>
    <t>Effective tax - income tax and social contribution</t>
  </si>
  <si>
    <t>Income Tax (%/Ebit)</t>
  </si>
  <si>
    <t>Assunptions of  WC</t>
  </si>
  <si>
    <t>Accounts receiveble</t>
  </si>
  <si>
    <t>Hedge Accounting (Non-Cash)</t>
  </si>
  <si>
    <t>Inventory</t>
  </si>
  <si>
    <t>Biological Assets + Inventory Adjustment (Non-Cash)</t>
  </si>
  <si>
    <t>Recoverable Taxes</t>
  </si>
  <si>
    <t>Biological Assets</t>
  </si>
  <si>
    <t>Biological Assets (Non-Cash)</t>
  </si>
  <si>
    <t>Prepaid expenses</t>
  </si>
  <si>
    <t>Suppliers</t>
  </si>
  <si>
    <t>Tax and Social Obligations</t>
  </si>
  <si>
    <t>Others</t>
  </si>
  <si>
    <t>Securities Payable (land)</t>
  </si>
  <si>
    <t>Provisions</t>
  </si>
  <si>
    <t>Biological Asset</t>
  </si>
  <si>
    <t>Biological Asset (Revenue)</t>
  </si>
  <si>
    <t>Biological Asset (Cost)</t>
  </si>
  <si>
    <t>% of payment of dividends</t>
  </si>
  <si>
    <t>% of payment of income tax</t>
  </si>
  <si>
    <t>Debt or Third Party Capital</t>
  </si>
  <si>
    <t>Equity or Own capital</t>
  </si>
  <si>
    <t>Value of the company</t>
  </si>
  <si>
    <t>Cost of Debt or Third Party Capital</t>
  </si>
  <si>
    <t>Brazil risk (RPBRZ)</t>
  </si>
  <si>
    <t>Cost of Own capital</t>
  </si>
  <si>
    <t>% of taxes</t>
  </si>
  <si>
    <t>Growth Rate of Perpetuity</t>
  </si>
  <si>
    <t>Biological assets assunptions</t>
  </si>
  <si>
    <t>NOPAT assumptions</t>
  </si>
  <si>
    <t>WACC assumptions</t>
  </si>
  <si>
    <t>Cost of sales of land</t>
  </si>
  <si>
    <t>Profit Sharing</t>
  </si>
  <si>
    <t>Profit Sharing assumptions</t>
  </si>
  <si>
    <t>Profit Sharing / Net Revenue</t>
  </si>
  <si>
    <t>Land Sales (area in ha)</t>
  </si>
  <si>
    <t>Land sales  R$ per useful ha</t>
  </si>
  <si>
    <t>Revenue R$ (000)</t>
  </si>
  <si>
    <t>Taxes (3,65% pis/cofins + 3,08% IRPJ) - R$ (000)</t>
  </si>
  <si>
    <t>Net Revenue R$ (000)</t>
  </si>
  <si>
    <t>Land Purchase (area in ha)</t>
  </si>
  <si>
    <t>Land Purchase  R$ per useful ha</t>
  </si>
  <si>
    <t>Purchase Value R$ (000)</t>
  </si>
  <si>
    <t>Areas - Mix of Crops</t>
  </si>
  <si>
    <t>Other Crops</t>
  </si>
  <si>
    <t>Total Crops</t>
  </si>
  <si>
    <t xml:space="preserve">Soybean (kg/ha) </t>
  </si>
  <si>
    <t>Cotton Lint (kg/ha)</t>
  </si>
  <si>
    <t>Cotton Seed (kg/ha)</t>
  </si>
  <si>
    <t>Corn (kg/ha)</t>
  </si>
  <si>
    <t>Soybean (TON/ha)</t>
  </si>
  <si>
    <t>Cotton Lint (ton/ha)</t>
  </si>
  <si>
    <t>Cotton Seed (ton/ha)</t>
  </si>
  <si>
    <t>Corn (ton/ha)</t>
  </si>
  <si>
    <t>Production</t>
  </si>
  <si>
    <t>Soja (bags)</t>
  </si>
  <si>
    <t>Cotton Lint (@)</t>
  </si>
  <si>
    <t>Cotton Seed (ton)</t>
  </si>
  <si>
    <t>Corn (bag)</t>
  </si>
  <si>
    <t>Soybean (ton)</t>
  </si>
  <si>
    <t>Cotton Lint (ton)</t>
  </si>
  <si>
    <t>Corn (ton)</t>
  </si>
  <si>
    <t xml:space="preserve">Total </t>
  </si>
  <si>
    <t>Volumes Sales - % Per fiscal Year</t>
  </si>
  <si>
    <t>% Per Fiscal Year</t>
  </si>
  <si>
    <t>Volumes Sales</t>
  </si>
  <si>
    <t>Crop Year</t>
  </si>
  <si>
    <t>Gross Revenue - (000)</t>
  </si>
  <si>
    <t>Total Revenue</t>
  </si>
  <si>
    <t>Taxes %</t>
  </si>
  <si>
    <t>Taxes R$ (000)</t>
  </si>
  <si>
    <t>Net Revenue R$ - (000)</t>
  </si>
  <si>
    <t>Cost of production R$/ha</t>
  </si>
  <si>
    <t>Cotton Cost</t>
  </si>
  <si>
    <t xml:space="preserve">Cotton   </t>
  </si>
  <si>
    <t>Cotton (2nd Crop)</t>
  </si>
  <si>
    <t>Corn (average)</t>
  </si>
  <si>
    <t>Area</t>
  </si>
  <si>
    <t>Cost R$/há</t>
  </si>
  <si>
    <t>Unit Cost</t>
  </si>
  <si>
    <t>Disbursement - R$</t>
  </si>
  <si>
    <t>Domestic Market</t>
  </si>
  <si>
    <t>Total Current Assets - Short-Term</t>
  </si>
  <si>
    <t>Total Current Liabilities - Short-Term</t>
  </si>
  <si>
    <t xml:space="preserve">Working Capital / (Deficit)
</t>
  </si>
  <si>
    <t>Increase) / Decrease in Working Capital</t>
  </si>
  <si>
    <t>Assumptions</t>
  </si>
  <si>
    <t>Accouts receivable</t>
  </si>
  <si>
    <t>Hedge Accounting</t>
  </si>
  <si>
    <t>Actions</t>
  </si>
  <si>
    <t>Biological assets (non-cash)</t>
  </si>
  <si>
    <t>Securities payable (land)</t>
  </si>
  <si>
    <t>Income Statement (R$ 000)</t>
  </si>
  <si>
    <t>Gross Revenue</t>
  </si>
  <si>
    <t>Result of hedge operations</t>
  </si>
  <si>
    <t>Result of PEPRO</t>
  </si>
  <si>
    <t>Total Gross Revenue with Hedge Operations</t>
  </si>
  <si>
    <t>Taxes</t>
  </si>
  <si>
    <t>Total Taxes</t>
  </si>
  <si>
    <t>% of Gross Revenue</t>
  </si>
  <si>
    <t>Net Revenue</t>
  </si>
  <si>
    <t>Total net revenue</t>
  </si>
  <si>
    <t>COGS</t>
  </si>
  <si>
    <t xml:space="preserve">Additional Lease Third Party </t>
  </si>
  <si>
    <t>Total COGS</t>
  </si>
  <si>
    <t>Total COGS with depreciation</t>
  </si>
  <si>
    <t>Gross Profit</t>
  </si>
  <si>
    <t>Gross margin</t>
  </si>
  <si>
    <t>% of Net Revenue</t>
  </si>
  <si>
    <t>G&amp;A</t>
  </si>
  <si>
    <t>Net Income from Land Sales</t>
  </si>
  <si>
    <t>Cost of Selling Land</t>
  </si>
  <si>
    <t>General &amp; Administrative Total</t>
  </si>
  <si>
    <t>Total Depreciation</t>
  </si>
  <si>
    <t>Write-off of fixed assets</t>
  </si>
  <si>
    <t xml:space="preserve">Margin EBITDA </t>
  </si>
  <si>
    <t>Margin EBITDA - Farming</t>
  </si>
  <si>
    <t>Margin EBIT</t>
  </si>
  <si>
    <t>Total Revenues / Expenses Financial</t>
  </si>
  <si>
    <t>Profit before taxes</t>
  </si>
  <si>
    <t>Income taxes</t>
  </si>
  <si>
    <t>Net Profit</t>
  </si>
  <si>
    <t>Margin</t>
  </si>
  <si>
    <t>Year</t>
  </si>
  <si>
    <t>COGS without Depreciation (-)</t>
  </si>
  <si>
    <t>Gross profit (=)</t>
  </si>
  <si>
    <t>Payment of income tax (-)</t>
  </si>
  <si>
    <t>Net Operating Profit (=)</t>
  </si>
  <si>
    <t>Variation of Working Capital (-)</t>
  </si>
  <si>
    <t>Sales/Aquisition of land (+/-)</t>
  </si>
  <si>
    <t>Operational Cash Generation (=)</t>
  </si>
  <si>
    <t>Interest paid</t>
  </si>
  <si>
    <t>Free Cash Flow (=)</t>
  </si>
  <si>
    <t>Dividends (-)</t>
  </si>
  <si>
    <t>Final Cash Generationl (=)</t>
  </si>
  <si>
    <t>Net debt</t>
  </si>
  <si>
    <t>Net debt/Ebitda - x</t>
  </si>
  <si>
    <t>Assumptions of WACC</t>
  </si>
  <si>
    <t xml:space="preserve">Valuation with Perpetuity of Business </t>
  </si>
  <si>
    <t>NPV of Cash Flow</t>
  </si>
  <si>
    <t>Fair Value of Shares</t>
  </si>
  <si>
    <t>Number of shares</t>
  </si>
  <si>
    <t>Multiple Ebitda 2018</t>
  </si>
  <si>
    <t>Cash and Cash Equivalents</t>
  </si>
  <si>
    <t>Customers</t>
  </si>
  <si>
    <t>Advance to suppliers</t>
  </si>
  <si>
    <t>Titles to Recover</t>
  </si>
  <si>
    <t>Titles to be received</t>
  </si>
  <si>
    <t>Operations with Derivatives</t>
  </si>
  <si>
    <t>Other Accounts Receivable</t>
  </si>
  <si>
    <t>Total Current Assets</t>
  </si>
  <si>
    <t xml:space="preserve">Deferred Income Tax and social contribution </t>
  </si>
  <si>
    <t xml:space="preserve">Operations with Derivatives </t>
  </si>
  <si>
    <t>Other credits</t>
  </si>
  <si>
    <t>Total Long-Term Assets</t>
  </si>
  <si>
    <t>Investment Property</t>
  </si>
  <si>
    <t>Fixed asset</t>
  </si>
  <si>
    <t>Intangible</t>
  </si>
  <si>
    <t>Total Fixed Assets net</t>
  </si>
  <si>
    <t>Loans and Financing</t>
  </si>
  <si>
    <t>Taxesa and Contributions</t>
  </si>
  <si>
    <t>Social and Labor Obligations</t>
  </si>
  <si>
    <t xml:space="preserve">Advanced of customers </t>
  </si>
  <si>
    <t>Titles to be paid</t>
  </si>
  <si>
    <t>Provisions of Taxes, Environmental and Labor Risks</t>
  </si>
  <si>
    <t>Dividends to be paid</t>
  </si>
  <si>
    <t>Leasing to be Paid</t>
  </si>
  <si>
    <t>Other accounts to be paid</t>
  </si>
  <si>
    <t>Total Current Liabilities</t>
  </si>
  <si>
    <t>Deferred Income Tax and Social Contributions</t>
  </si>
  <si>
    <t>Other obligations</t>
  </si>
  <si>
    <t>Total Long-Term Liabilities</t>
  </si>
  <si>
    <t>Share capital</t>
  </si>
  <si>
    <t>Capital reserves</t>
  </si>
  <si>
    <t>(-) Treasury Shares</t>
  </si>
  <si>
    <t>Profit Reserves</t>
  </si>
  <si>
    <t>Other Comprehensive Results</t>
  </si>
  <si>
    <t xml:space="preserve">Non-controlling shareholders </t>
  </si>
  <si>
    <t>Shareholders' Equity</t>
  </si>
  <si>
    <t>Total Liability</t>
  </si>
  <si>
    <t>Items</t>
  </si>
  <si>
    <t>Liquidity Indicators</t>
  </si>
  <si>
    <t>Reference</t>
  </si>
  <si>
    <t>Current liquidity</t>
  </si>
  <si>
    <t>Current Assets / Current Liabilities</t>
  </si>
  <si>
    <t>Dry Liquidity</t>
  </si>
  <si>
    <t>(Current Assets - Inventory) / Current Liabilities</t>
  </si>
  <si>
    <t>General Liquidity</t>
  </si>
  <si>
    <t>(Current Asset + Long term Asset) / (Current Liabilities + Long term)</t>
  </si>
  <si>
    <t>Capital Structure Indicators</t>
  </si>
  <si>
    <t>General Indebtedness</t>
  </si>
  <si>
    <t>(Current Liabilities + Long term)/ Equity</t>
  </si>
  <si>
    <t>Lower / Better</t>
  </si>
  <si>
    <t>Indebtedness shor term (onerous)</t>
  </si>
  <si>
    <t>Short-term debt / Total debt</t>
  </si>
  <si>
    <t>Indebtedness long term (onerous)</t>
  </si>
  <si>
    <t>Long-term debt / Total debt</t>
  </si>
  <si>
    <t>Total Profitability Indicators</t>
  </si>
  <si>
    <t>a) Net Margin</t>
  </si>
  <si>
    <t>Net profit / Net revenue</t>
  </si>
  <si>
    <t>Higher / Better</t>
  </si>
  <si>
    <t>b) Asset Turnover</t>
  </si>
  <si>
    <t>Net Revenue / Total Asset</t>
  </si>
  <si>
    <t>c) Return over Assets (a x b)</t>
  </si>
  <si>
    <t>Net Profit / Total Asset</t>
  </si>
  <si>
    <t>d) Leverage</t>
  </si>
  <si>
    <t>Asset / Equity</t>
  </si>
  <si>
    <t>e) Return over Equity (c x d)</t>
  </si>
  <si>
    <t>Net profit / Equity</t>
  </si>
  <si>
    <t>Solvency Capacity</t>
  </si>
  <si>
    <t>Interest Coverage I</t>
  </si>
  <si>
    <t>EBIT / financial expenses</t>
  </si>
  <si>
    <t>Interest Coverage II</t>
  </si>
  <si>
    <t>EBITDA / financial expenses</t>
  </si>
  <si>
    <t>Costs of prodution</t>
  </si>
  <si>
    <t>Revenue</t>
  </si>
  <si>
    <t>Land Sales and Purchase</t>
  </si>
  <si>
    <t>Days</t>
  </si>
  <si>
    <t>Crop Mix (ha)</t>
  </si>
  <si>
    <t>Area Increase</t>
  </si>
  <si>
    <t>Leased</t>
  </si>
  <si>
    <t>Quantity of 60-kg soy bags</t>
  </si>
  <si>
    <t>Current Leased Areas in ha</t>
  </si>
  <si>
    <t>Areas pending license granting</t>
  </si>
  <si>
    <t xml:space="preserve">% Sold </t>
  </si>
  <si>
    <t>Logistic Cost</t>
  </si>
  <si>
    <t>FX Rate</t>
  </si>
  <si>
    <t>Hedged R$/USD (NDF)</t>
  </si>
  <si>
    <t>FX Future Curve</t>
  </si>
  <si>
    <t>Sales Taxes</t>
  </si>
  <si>
    <t>Average of Net Revenue</t>
  </si>
  <si>
    <t>Cash Cost of Production</t>
  </si>
  <si>
    <t>Administrative Expenses</t>
  </si>
  <si>
    <t>CAPEX</t>
  </si>
  <si>
    <t>Average Cost of Debt</t>
  </si>
  <si>
    <t>To be Hedged R$/USD</t>
  </si>
  <si>
    <t>Hedged Prices (Commodity Exchange + Premium)</t>
  </si>
  <si>
    <t>Prices for the Balance to be sold  (at the Commodity Exchange)</t>
  </si>
  <si>
    <t>Premium over the Commodity Exchange ("Basis") for the balance to be sold</t>
  </si>
  <si>
    <t>Final Price for the Balance to be Sold (Exchange + Premium)</t>
  </si>
  <si>
    <t>Net Debt in 2019</t>
  </si>
  <si>
    <t>IFRS 16</t>
  </si>
  <si>
    <t>Right of use Assets</t>
  </si>
  <si>
    <t>Investments valued at fair value</t>
  </si>
  <si>
    <t>Leasing  liabilities with third parties</t>
  </si>
  <si>
    <t>Accumulated profits</t>
  </si>
  <si>
    <t>atualizar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</si>
</sst>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1">
    <numFmt numFmtId="6" formatCode="&quot;R$&quot;\ #,##0;[Red]\-&quot;R$&quot;\ #,##0"/>
    <numFmt numFmtId="43" formatCode="_-* #,##0.00_-;\-* #,##0.00_-;_-* &quot;-&quot;??_-;_-@_-"/>
    <numFmt numFmtId="164" formatCode="&quot;R$ &quot;#,##0.00_);[Red]\(&quot;R$ &quot;#,##0.00\)"/>
    <numFmt numFmtId="165" formatCode="_(* #,##0.00_);_(* \(#,##0.00\);_(* &quot;-&quot;??_);_(@_)"/>
    <numFmt numFmtId="166" formatCode="&quot;$&quot;#,##0_);\(&quot;$&quot;#,##0\)"/>
    <numFmt numFmtId="167" formatCode="_(* #,##0.0_);_(* \(#,##0.0\);_(* &quot;-&quot;??_);_(@_)"/>
    <numFmt numFmtId="168" formatCode="_(* #,##0_);_(* \(#,##0\);_(* &quot;-&quot;??_);_(@_)"/>
    <numFmt numFmtId="169" formatCode="0.0%"/>
    <numFmt numFmtId="170" formatCode="0\A"/>
    <numFmt numFmtId="171" formatCode="0\E"/>
    <numFmt numFmtId="172" formatCode="_(* #,##0.0_);_(* \(#,##0.0\);_(* &quot;-&quot;?_);_(@_)"/>
    <numFmt numFmtId="173" formatCode="0.000%"/>
    <numFmt numFmtId="174" formatCode="#,##0.0_);\(#,##0.0\)"/>
    <numFmt numFmtId="175" formatCode="0.0000%"/>
    <numFmt numFmtId="176" formatCode="_([$€-2]* #,##0.00_);_([$€-2]* \(#,##0.00\);_([$€-2]* &quot;-&quot;??_)"/>
    <numFmt numFmtId="177" formatCode="_(* #,##0.0000_);_(* \(#,##0.0000\);_(* &quot;-&quot;??_);_(@_)"/>
    <numFmt numFmtId="178" formatCode="#,##0.000"/>
    <numFmt numFmtId="179" formatCode="#,##0.0"/>
    <numFmt numFmtId="180" formatCode="0.0000"/>
    <numFmt numFmtId="181" formatCode="0.0"/>
    <numFmt numFmtId="182" formatCode="&quot;$&quot;#,##0_);[Red]\(&quot;$&quot;#,##0\)"/>
    <numFmt numFmtId="183" formatCode="&quot;$&quot;#,##0.00_);\(&quot;$&quot;#,##0.00\)"/>
    <numFmt numFmtId="184" formatCode="&quot;$&quot;#,##0.00_);[Red]\(&quot;$&quot;#,##0.00\)"/>
    <numFmt numFmtId="185" formatCode="_(&quot;$&quot;* #,##0.00_);_(&quot;$&quot;* \(#,##0.00\);_(&quot;$&quot;* &quot;-&quot;??_);_(@_)"/>
    <numFmt numFmtId="186" formatCode="General_)"/>
    <numFmt numFmtId="187" formatCode="#,##0.0_);[Red]\(#,##0.0\)"/>
    <numFmt numFmtId="188" formatCode="0.0%;\(0.0%\)"/>
    <numFmt numFmtId="189" formatCode="#,##0.00000_);\(#,##0.00000\)"/>
    <numFmt numFmtId="190" formatCode="&quot;$&quot;#,##0.0_);\(&quot;$&quot;#,##0.0\)"/>
    <numFmt numFmtId="191" formatCode="#0.0\x"/>
    <numFmt numFmtId="192" formatCode="#,##0.000_);\(#,##0.000\)"/>
    <numFmt numFmtId="193" formatCode="0.0000000"/>
    <numFmt numFmtId="194" formatCode="0.000000"/>
    <numFmt numFmtId="195" formatCode="#,##0.0\x_);\(#,##0.0\x\)"/>
    <numFmt numFmtId="196" formatCode="0.000_);\(0.000\)"/>
    <numFmt numFmtId="197" formatCode="0.00_);\(0.00\)"/>
    <numFmt numFmtId="198" formatCode="0.00_)"/>
    <numFmt numFmtId="199" formatCode="m\-d\-yy"/>
    <numFmt numFmtId="200" formatCode="\(###\)\ ###\-####"/>
    <numFmt numFmtId="201" formatCode="#,##0.00__\);\(#,##0.00\);__\ \ \-"/>
    <numFmt numFmtId="202" formatCode="m/d/yy\ h:mm:ss"/>
    <numFmt numFmtId="203" formatCode="#,##0._);[Red]\(#,##0.\)"/>
    <numFmt numFmtId="204" formatCode="_(* #,##0.000_);_(* \(#,##0.000\);_(* &quot;-&quot;???_);_(@_)"/>
    <numFmt numFmtId="205" formatCode="&quot;$&quot;#,##0.0_);[Red]\(&quot;$&quot;#,##0.0\)"/>
    <numFmt numFmtId="206" formatCode="&quot;Cr$&quot;#,##0_);[Red]\(&quot;Cr$&quot;#,##0\)"/>
    <numFmt numFmtId="207" formatCode="#,##0.000_);[Red]\(#,##0.000\)"/>
    <numFmt numFmtId="208" formatCode="#,##0.0000_);[Red]\(#,##0.0000\)"/>
    <numFmt numFmtId="209" formatCode="&quot;$&quot;#,##0.000_);[Red]\(&quot;$&quot;#,##0.000\)"/>
    <numFmt numFmtId="210" formatCode="#,##0.000000_);\(#,##0.000000\)"/>
    <numFmt numFmtId="211" formatCode="0.000000000"/>
    <numFmt numFmtId="212" formatCode="0.00000_);\(0.00000\)"/>
    <numFmt numFmtId="213" formatCode="mmmm\ d\,\ yyyy"/>
    <numFmt numFmtId="214" formatCode="#,##0.0000000_);\(#,##0.0000000\)"/>
    <numFmt numFmtId="215" formatCode="&quot;$&quot;#,##0.0_);\(&quot;$&quot;#,##0.00\)"/>
    <numFmt numFmtId="216" formatCode="0.0%_)"/>
    <numFmt numFmtId="217" formatCode="\I\n\c\/\(d\ \ "/>
    <numFmt numFmtId="218" formatCode="yyyy"/>
    <numFmt numFmtId="219" formatCode="#,##0.00\x_);[Red]\(#,##0.00\x\);&quot;--  &quot;"/>
    <numFmt numFmtId="220" formatCode="&quot;Proj &quot;0;;"/>
    <numFmt numFmtId="221" formatCode="0.000%;[Red]\(0.000%\)"/>
    <numFmt numFmtId="222" formatCode="#.00"/>
    <numFmt numFmtId="223" formatCode="&quot;$&quot;#,##0;\-&quot;$&quot;#,##0"/>
    <numFmt numFmtId="224" formatCode="#.##0"/>
    <numFmt numFmtId="225" formatCode="#,##0.00\ &quot;S/.&quot;;[Red]\-#,##0.00\ &quot;S/.&quot;"/>
    <numFmt numFmtId="226" formatCode="_-* #,##0\ &quot;S/.&quot;_-;\-* #,##0\ &quot;S/.&quot;_-;_-* &quot;-&quot;\ &quot;S/.&quot;_-;_-@_-"/>
    <numFmt numFmtId="227" formatCode="_-* #,##0\ _S_/_._-;\-* #,##0\ _S_/_._-;_-* &quot;-&quot;\ _S_/_._-;_-@_-"/>
    <numFmt numFmtId="228" formatCode="_-* #,##0.00\ &quot;S/.&quot;_-;\-* #,##0.00\ &quot;S/.&quot;_-;_-* &quot;-&quot;??\ &quot;S/.&quot;_-;_-@_-"/>
    <numFmt numFmtId="229" formatCode="#,##0;\(#,##0\)"/>
    <numFmt numFmtId="230" formatCode="\•\ \ @"/>
    <numFmt numFmtId="231" formatCode="\ \ _•\–\ \ \ \ @"/>
    <numFmt numFmtId="232" formatCode="\L\ #,##0_);[Red]\(\L\ #,##0\)"/>
    <numFmt numFmtId="233" formatCode="_ * #,##0.000000_)_C_r_$_ ;_ * \(#,##0.000000\)_C_r_$_ ;_ * &quot;-&quot;??_)_C_r_$_ ;_ @_ "/>
    <numFmt numFmtId="234" formatCode="\Y\ #,##0_);[Red]\(\Y\ #,##0\)"/>
    <numFmt numFmtId="235" formatCode="#,##0.00000_);[Red]\(#,##0.00000\)"/>
    <numFmt numFmtId="236" formatCode="#,##0.0;\(#,##0.0\)"/>
    <numFmt numFmtId="237" formatCode="&quot;S/.&quot;#,##0_);[Red]\(&quot;S/.&quot;#,##0\)"/>
    <numFmt numFmtId="238" formatCode="0.0%;[Red]\(0.0%\)"/>
    <numFmt numFmtId="239" formatCode="#,##0.0_);[Red]\(#,##0.0\);&quot;--  &quot;"/>
    <numFmt numFmtId="240" formatCode="0.0%;[Red]\(0.0%\);&quot;--  &quot;"/>
    <numFmt numFmtId="241" formatCode="0.000%;;&quot;-- &quot;"/>
    <numFmt numFmtId="242" formatCode="0&quot; bp&quot;;;&quot;--  &quot;"/>
    <numFmt numFmtId="243" formatCode="#,##0.00_)&quot; &quot;;[Red]\(#,##0.00\)&quot; &quot;"/>
    <numFmt numFmtId="244" formatCode="&quot;$&quot;#,##0.00_);[Red]\(&quot;$&quot;#,##0.00\);&quot;--  &quot;;_(@_)"/>
    <numFmt numFmtId="245" formatCode="#,##0.00\x;\(#,##0.00\x\)"/>
    <numFmt numFmtId="246" formatCode="_(* #,##0_);_(* \(#,##0\);_(* &quot;--- &quot;_)"/>
    <numFmt numFmtId="247" formatCode="#,##0;[Red]\(#,##0\)"/>
    <numFmt numFmtId="248" formatCode="#,##0.0%_);\(#,##0.0%\)"/>
    <numFmt numFmtId="249" formatCode="#,##0.0000000000000_);[Red]\(#,##0.0000000000000\)"/>
    <numFmt numFmtId="250" formatCode="_(&quot;$&quot;* #,##0.0_);_(&quot;$&quot;* \(#,##0.0\);_(&quot;$&quot;* &quot;-&quot;??_);_(@_)"/>
    <numFmt numFmtId="251" formatCode="0.0%_);[Red]\(0.0%\)"/>
    <numFmt numFmtId="252" formatCode="&quot;$&quot;\ \ #,##0_);\(#,##0\)"/>
    <numFmt numFmtId="253" formatCode="&quot;$&quot;#,##0_);&quot;$&quot;\ \ \ \ \ \ \ \(#,##0\)"/>
    <numFmt numFmtId="254" formatCode="&quot;$&quot;#,##0_);&quot;$&quot;\ \ \ \ \ \ \ \ \ \(#,##0\)"/>
    <numFmt numFmtId="255" formatCode="_-* #,##0.00_-;_-* #,##0.00\-;_-* &quot;-&quot;??_-;_-@_-"/>
    <numFmt numFmtId="256" formatCode="_ &quot;£&quot;* #,##0.00_ ;_ &quot;£&quot;* \-#,##0.00_ ;_ &quot;£&quot;* &quot;-&quot;??_ ;_ @_ "/>
    <numFmt numFmtId="257" formatCode="_-&quot;£&quot;\ * #,##0.00_-;\-&quot;£&quot;\ * #,##0.00_-;_-&quot;£&quot;\ * &quot;-&quot;??_-;_-@_-"/>
    <numFmt numFmtId="258" formatCode="&quot;&quot;#,##0.0_);\(&quot;&quot;#,##0.0\)"/>
    <numFmt numFmtId="259" formatCode="\(* #,##0.0\);\(* \(#,##0.0\);\(* &quot;---&quot;??\);_(@\)"/>
    <numFmt numFmtId="260" formatCode="mmm\ yyyy"/>
    <numFmt numFmtId="261" formatCode="#,##0.0%_);[Red]\(#,##0.0%\)"/>
    <numFmt numFmtId="262" formatCode="\(#,##0.0%\);[Red]\(#,##0.0%\)"/>
    <numFmt numFmtId="263" formatCode="0.00%_);[Red]\(0.00%\)"/>
    <numFmt numFmtId="264" formatCode="&quot;$&quot;#,##0.00;[Red]\(&quot;$&quot;#,##0.00\)"/>
    <numFmt numFmtId="265" formatCode="#,##0.00\ &quot;Pts&quot;;\-#,##0.00\ &quot;Pts&quot;"/>
    <numFmt numFmtId="266" formatCode="#,##0.00\ &quot;Pts&quot;;[Red]\-#,##0.00\ &quot;Pts&quot;"/>
    <numFmt numFmtId="267" formatCode="#,##0.00;\(#,##0.00\);_(* &quot;-&quot;_)"/>
    <numFmt numFmtId="268" formatCode="0.00\ "/>
    <numFmt numFmtId="269" formatCode="&quot;$&quot;#,##0.0"/>
    <numFmt numFmtId="270" formatCode="_(* #,##0.000_);_(* \(#,##0.000\);_(* &quot;-&quot;??_);_(@_)"/>
    <numFmt numFmtId="271" formatCode="&quot;R$ &quot;#,##0.00"/>
    <numFmt numFmtId="272" formatCode="_-* #,##0_-;\-* #,##0_-;_-* &quot;-&quot;??_-;_-@_-"/>
  </numFmts>
  <fonts count="230">
    <font>
      <sz val="10"/>
      <name val="Arial"/>
    </font>
    <font>
      <sz val="10"/>
      <name val="Arial"/>
      <family val="2"/>
    </font>
    <font>
      <b/>
      <sz val="10"/>
      <name val="Arial"/>
      <family val="2"/>
    </font>
    <font>
      <sz val="8"/>
      <name val="Arial"/>
      <family val="2"/>
    </font>
    <font>
      <u/>
      <sz val="10"/>
      <color indexed="12"/>
      <name val="Arial"/>
      <family val="2"/>
    </font>
    <font>
      <u/>
      <sz val="10"/>
      <color indexed="36"/>
      <name val="Arial"/>
      <family val="2"/>
    </font>
    <font>
      <b/>
      <sz val="16"/>
      <name val="Arial"/>
      <family val="2"/>
    </font>
    <font>
      <b/>
      <i/>
      <sz val="8"/>
      <name val="Arial"/>
      <family val="2"/>
    </font>
    <font>
      <sz val="8"/>
      <name val="Arial"/>
      <family val="2"/>
    </font>
    <font>
      <sz val="8"/>
      <color indexed="12"/>
      <name val="Arial"/>
      <family val="2"/>
    </font>
    <font>
      <b/>
      <sz val="8"/>
      <name val="Arial"/>
      <family val="2"/>
    </font>
    <font>
      <b/>
      <sz val="8"/>
      <name val="Arial"/>
      <family val="2"/>
    </font>
    <font>
      <b/>
      <sz val="8"/>
      <color indexed="12"/>
      <name val="Arial"/>
      <family val="2"/>
    </font>
    <font>
      <b/>
      <sz val="10"/>
      <name val="MS Sans Serif"/>
      <family val="2"/>
    </font>
    <font>
      <b/>
      <i/>
      <sz val="8"/>
      <name val="Arial"/>
      <family val="2"/>
    </font>
    <font>
      <sz val="8"/>
      <color indexed="17"/>
      <name val="Arial"/>
      <family val="2"/>
    </font>
    <font>
      <i/>
      <sz val="8"/>
      <name val="Arial"/>
      <family val="2"/>
    </font>
    <font>
      <i/>
      <sz val="8"/>
      <color indexed="12"/>
      <name val="Arial"/>
      <family val="2"/>
    </font>
    <font>
      <sz val="10"/>
      <name val="Arial"/>
      <family val="2"/>
    </font>
    <font>
      <b/>
      <sz val="12"/>
      <color indexed="9"/>
      <name val="Arial"/>
      <family val="2"/>
    </font>
    <font>
      <b/>
      <sz val="8"/>
      <color indexed="9"/>
      <name val="Arial"/>
      <family val="2"/>
    </font>
    <font>
      <sz val="10"/>
      <name val="Arial"/>
      <family val="2"/>
    </font>
    <font>
      <sz val="9"/>
      <name val="Arial"/>
      <family val="2"/>
    </font>
    <font>
      <b/>
      <sz val="9"/>
      <name val="Arial"/>
      <family val="2"/>
    </font>
    <font>
      <b/>
      <sz val="10"/>
      <color indexed="9"/>
      <name val="Arial"/>
      <family val="2"/>
    </font>
    <font>
      <i/>
      <sz val="10"/>
      <name val="Arial"/>
      <family val="2"/>
    </font>
    <font>
      <sz val="10"/>
      <color indexed="9"/>
      <name val="Arial"/>
      <family val="2"/>
    </font>
    <font>
      <b/>
      <sz val="8"/>
      <color indexed="81"/>
      <name val="Tahoma"/>
      <family val="2"/>
    </font>
    <font>
      <sz val="8"/>
      <color indexed="81"/>
      <name val="Tahoma"/>
      <family val="2"/>
    </font>
    <font>
      <sz val="9"/>
      <color indexed="10"/>
      <name val="Geneva"/>
    </font>
    <font>
      <sz val="10"/>
      <color indexed="24"/>
      <name val="Times New Roman"/>
      <family val="1"/>
    </font>
    <font>
      <sz val="10"/>
      <name val="Helv"/>
    </font>
    <font>
      <sz val="12"/>
      <name val="Helv"/>
    </font>
    <font>
      <sz val="8"/>
      <color indexed="24"/>
      <name val="Times New Roman"/>
      <family val="1"/>
    </font>
    <font>
      <sz val="12"/>
      <color indexed="24"/>
      <name val="Times New Roman"/>
      <family val="1"/>
    </font>
    <font>
      <sz val="10"/>
      <name val="Courier"/>
      <family val="3"/>
    </font>
    <font>
      <sz val="8"/>
      <color indexed="8"/>
      <name val="Arial"/>
      <family val="2"/>
    </font>
    <font>
      <b/>
      <sz val="8"/>
      <color indexed="8"/>
      <name val="Arial"/>
      <family val="2"/>
    </font>
    <font>
      <b/>
      <sz val="12"/>
      <name val="Arial"/>
      <family val="2"/>
    </font>
    <font>
      <sz val="12"/>
      <name val="Arial"/>
      <family val="2"/>
    </font>
    <font>
      <sz val="10"/>
      <name val="Trebuchet MS"/>
      <family val="2"/>
    </font>
    <font>
      <sz val="9"/>
      <name val="Trebuchet MS"/>
      <family val="2"/>
    </font>
    <font>
      <sz val="10"/>
      <color indexed="12"/>
      <name val="Trebuchet MS"/>
      <family val="2"/>
    </font>
    <font>
      <b/>
      <sz val="10"/>
      <name val="Trebuchet MS"/>
      <family val="2"/>
    </font>
    <font>
      <sz val="10"/>
      <name val="GillSans"/>
    </font>
    <font>
      <sz val="10"/>
      <name val="Baskerville MT"/>
    </font>
    <font>
      <sz val="10"/>
      <name val="Century Schoolbook"/>
      <family val="1"/>
    </font>
    <font>
      <sz val="10"/>
      <color indexed="8"/>
      <name val="MS Sans Serif"/>
      <family val="2"/>
    </font>
    <font>
      <sz val="10"/>
      <name val="Arial MT"/>
    </font>
    <font>
      <u/>
      <sz val="10"/>
      <name val="Arial"/>
      <family val="2"/>
    </font>
    <font>
      <sz val="10"/>
      <name val="MS Sans Serif"/>
      <family val="2"/>
    </font>
    <font>
      <sz val="12"/>
      <color indexed="8"/>
      <name val="Arial"/>
      <family val="2"/>
    </font>
    <font>
      <b/>
      <sz val="10"/>
      <color indexed="8"/>
      <name val="Arial"/>
      <family val="2"/>
    </font>
    <font>
      <sz val="10"/>
      <color indexed="8"/>
      <name val="Arial"/>
      <family val="2"/>
    </font>
    <font>
      <b/>
      <sz val="10"/>
      <color indexed="32"/>
      <name val="Arial"/>
      <family val="2"/>
    </font>
    <font>
      <sz val="12"/>
      <name val="Tms Rmn"/>
    </font>
    <font>
      <sz val="10"/>
      <color indexed="12"/>
      <name val="Times New Roman"/>
      <family val="1"/>
    </font>
    <font>
      <sz val="8"/>
      <name val="Times"/>
      <family val="1"/>
    </font>
    <font>
      <b/>
      <sz val="12"/>
      <name val="Tms Rmn"/>
    </font>
    <font>
      <sz val="8"/>
      <name val="Times New Roman"/>
      <family val="1"/>
    </font>
    <font>
      <sz val="8"/>
      <color indexed="12"/>
      <name val="Helvetica"/>
      <family val="2"/>
    </font>
    <font>
      <sz val="10"/>
      <name val="FuturaA Bk BT"/>
    </font>
    <font>
      <strike/>
      <sz val="8"/>
      <name val="Arial"/>
      <family val="2"/>
    </font>
    <font>
      <sz val="8"/>
      <name val="Geneva"/>
    </font>
    <font>
      <sz val="10"/>
      <name val="Times New Roman"/>
      <family val="1"/>
    </font>
    <font>
      <b/>
      <sz val="12"/>
      <name val="Times New Roman"/>
      <family val="1"/>
      <charset val="238"/>
    </font>
    <font>
      <sz val="7"/>
      <name val="Times New Roman"/>
      <family val="1"/>
    </font>
    <font>
      <b/>
      <i/>
      <sz val="12"/>
      <name val="Times New Roman"/>
      <family val="1"/>
    </font>
    <font>
      <b/>
      <sz val="10"/>
      <name val="Helv"/>
    </font>
    <font>
      <sz val="12"/>
      <name val="Times New Roman"/>
      <family val="1"/>
    </font>
    <font>
      <b/>
      <i/>
      <sz val="9"/>
      <name val="Arial"/>
      <family val="2"/>
    </font>
    <font>
      <b/>
      <sz val="8"/>
      <name val="Times New Roman"/>
      <family val="1"/>
    </font>
    <font>
      <sz val="9"/>
      <color indexed="12"/>
      <name val="Helvetica"/>
      <family val="2"/>
    </font>
    <font>
      <b/>
      <sz val="8"/>
      <name val="Book Antiqua"/>
      <family val="1"/>
    </font>
    <font>
      <b/>
      <u/>
      <sz val="8"/>
      <name val="Arial"/>
      <family val="2"/>
    </font>
    <font>
      <sz val="8"/>
      <name val="Palatino"/>
      <family val="1"/>
    </font>
    <font>
      <sz val="6"/>
      <name val="Courier New"/>
      <family val="3"/>
    </font>
    <font>
      <sz val="10"/>
      <name val="BERNHARD"/>
    </font>
    <font>
      <sz val="10"/>
      <name val="MS Serif"/>
      <family val="1"/>
    </font>
    <font>
      <sz val="11"/>
      <color indexed="12"/>
      <name val="Book Antiqua"/>
      <family val="1"/>
    </font>
    <font>
      <sz val="8"/>
      <color indexed="16"/>
      <name val="Palatino"/>
      <family val="1"/>
    </font>
    <font>
      <sz val="10"/>
      <name val="Helv"/>
      <family val="2"/>
    </font>
    <font>
      <sz val="8"/>
      <name val="Helv"/>
    </font>
    <font>
      <sz val="10"/>
      <name val="Palatino"/>
      <family val="1"/>
    </font>
    <font>
      <sz val="8"/>
      <color indexed="18"/>
      <name val="Times New Roman"/>
      <family val="1"/>
    </font>
    <font>
      <i/>
      <sz val="10"/>
      <color indexed="17"/>
      <name val="Times New Roman"/>
      <family val="1"/>
    </font>
    <font>
      <sz val="10"/>
      <name val="Arial Narrow"/>
      <family val="2"/>
    </font>
    <font>
      <sz val="8"/>
      <name val="Helvetica-Narrow"/>
    </font>
    <font>
      <b/>
      <sz val="8"/>
      <name val="Arial Narrow"/>
      <family val="2"/>
    </font>
    <font>
      <sz val="10"/>
      <color indexed="16"/>
      <name val="MS Serif"/>
      <family val="1"/>
    </font>
    <font>
      <b/>
      <sz val="18"/>
      <color indexed="24"/>
      <name val="Arial"/>
      <family val="2"/>
    </font>
    <font>
      <b/>
      <sz val="12"/>
      <color indexed="24"/>
      <name val="Arial"/>
      <family val="2"/>
    </font>
    <font>
      <sz val="10"/>
      <name val="Geneva"/>
    </font>
    <font>
      <sz val="12"/>
      <color indexed="24"/>
      <name val="Arial"/>
      <family val="2"/>
    </font>
    <font>
      <sz val="10"/>
      <color indexed="24"/>
      <name val="Arial"/>
      <family val="2"/>
    </font>
    <font>
      <sz val="1"/>
      <color indexed="8"/>
      <name val="Courier"/>
      <family val="3"/>
    </font>
    <font>
      <sz val="7"/>
      <name val="Palatino"/>
      <family val="1"/>
    </font>
    <font>
      <sz val="7"/>
      <name val="Arial"/>
      <family val="2"/>
    </font>
    <font>
      <sz val="10"/>
      <name val="Prestige Elite"/>
    </font>
    <font>
      <sz val="8"/>
      <color indexed="17"/>
      <name val="Times New Roman"/>
      <family val="1"/>
    </font>
    <font>
      <sz val="16"/>
      <color indexed="12"/>
      <name val="Times New Roman"/>
      <family val="1"/>
    </font>
    <font>
      <sz val="10"/>
      <color indexed="12"/>
      <name val="Arial"/>
      <family val="2"/>
    </font>
    <font>
      <b/>
      <u/>
      <sz val="11"/>
      <color indexed="37"/>
      <name val="Arial"/>
      <family val="2"/>
    </font>
    <font>
      <b/>
      <sz val="8"/>
      <name val="Palatino"/>
      <family val="1"/>
    </font>
    <font>
      <i/>
      <sz val="14"/>
      <name val="Palatino"/>
      <family val="1"/>
    </font>
    <font>
      <u/>
      <sz val="7.5"/>
      <color indexed="36"/>
      <name val="Arial"/>
      <family val="2"/>
    </font>
    <font>
      <u/>
      <sz val="7.5"/>
      <color indexed="12"/>
      <name val="Arial"/>
      <family val="2"/>
    </font>
    <font>
      <sz val="8"/>
      <color indexed="39"/>
      <name val="Arial"/>
      <family val="2"/>
    </font>
    <font>
      <sz val="10"/>
      <color indexed="10"/>
      <name val="Times New Roman"/>
      <family val="1"/>
    </font>
    <font>
      <sz val="10"/>
      <color indexed="18"/>
      <name val="Arial"/>
      <family val="2"/>
    </font>
    <font>
      <sz val="10"/>
      <color indexed="18"/>
      <name val="Palatino"/>
      <family val="1"/>
    </font>
    <font>
      <b/>
      <sz val="9"/>
      <name val="Geneva"/>
    </font>
    <font>
      <sz val="8"/>
      <color indexed="12"/>
      <name val="Palatino"/>
      <family val="1"/>
    </font>
    <font>
      <b/>
      <sz val="10"/>
      <name val="Palatino"/>
      <family val="1"/>
    </font>
    <font>
      <sz val="12"/>
      <color indexed="9"/>
      <name val="Helv"/>
    </font>
    <font>
      <sz val="9"/>
      <name val="LinePrinter"/>
    </font>
    <font>
      <sz val="12"/>
      <color indexed="12"/>
      <name val="Times New Roman"/>
      <family val="1"/>
    </font>
    <font>
      <b/>
      <sz val="12"/>
      <color indexed="8"/>
      <name val="Times New Roman"/>
      <family val="1"/>
    </font>
    <font>
      <sz val="7"/>
      <name val="Small Fonts"/>
      <family val="2"/>
    </font>
    <font>
      <b/>
      <i/>
      <sz val="16"/>
      <name val="Helv"/>
    </font>
    <font>
      <sz val="9"/>
      <name val="Times New Roman"/>
      <family val="1"/>
    </font>
    <font>
      <sz val="12"/>
      <name val="Times New Roman"/>
      <family val="1"/>
      <charset val="238"/>
    </font>
    <font>
      <sz val="11"/>
      <name val="Times New Roman"/>
      <family val="1"/>
      <charset val="238"/>
    </font>
    <font>
      <b/>
      <sz val="11"/>
      <name val="Times New Roman"/>
      <family val="1"/>
      <charset val="238"/>
    </font>
    <font>
      <sz val="8"/>
      <name val="Helvetica"/>
      <family val="2"/>
    </font>
    <font>
      <sz val="8"/>
      <name val="Book Antiqua"/>
      <family val="1"/>
    </font>
    <font>
      <i/>
      <sz val="9"/>
      <color indexed="12"/>
      <name val="Helv"/>
    </font>
    <font>
      <sz val="11"/>
      <name val="‚l‚r –¾’©"/>
    </font>
    <font>
      <b/>
      <i/>
      <sz val="10"/>
      <color indexed="8"/>
      <name val="Arial"/>
      <family val="2"/>
    </font>
    <font>
      <b/>
      <sz val="11"/>
      <color indexed="21"/>
      <name val="Arial"/>
      <family val="2"/>
    </font>
    <font>
      <b/>
      <sz val="22"/>
      <color indexed="21"/>
      <name val="Times New Roman"/>
      <family val="1"/>
    </font>
    <font>
      <b/>
      <sz val="26"/>
      <name val="Times New Roman"/>
      <family val="1"/>
    </font>
    <font>
      <b/>
      <sz val="18"/>
      <name val="Times New Roman"/>
      <family val="1"/>
    </font>
    <font>
      <sz val="10"/>
      <color indexed="16"/>
      <name val="Helvetica-Black"/>
    </font>
    <font>
      <b/>
      <sz val="10"/>
      <name val="Times New Roman"/>
      <family val="1"/>
    </font>
    <font>
      <sz val="16"/>
      <name val="Times New Roman"/>
      <family val="1"/>
    </font>
    <font>
      <sz val="8"/>
      <color indexed="12"/>
      <name val="Times New Roman"/>
      <family val="1"/>
    </font>
    <font>
      <sz val="12"/>
      <name val="Arial MT"/>
    </font>
    <font>
      <sz val="8"/>
      <color indexed="60"/>
      <name val="Arial"/>
      <family val="2"/>
    </font>
    <font>
      <sz val="10"/>
      <name val="Times"/>
      <family val="1"/>
    </font>
    <font>
      <u/>
      <sz val="10"/>
      <name val="GillSans"/>
      <family val="2"/>
    </font>
    <font>
      <i/>
      <sz val="10"/>
      <color indexed="10"/>
      <name val="Futura Bk BT"/>
      <family val="2"/>
    </font>
    <font>
      <sz val="10"/>
      <name val="Futura Bk BT"/>
    </font>
    <font>
      <sz val="7"/>
      <color indexed="12"/>
      <name val="Arial"/>
      <family val="2"/>
    </font>
    <font>
      <sz val="10"/>
      <color indexed="12"/>
      <name val="Helvetica"/>
      <family val="2"/>
    </font>
    <font>
      <u val="singleAccounting"/>
      <sz val="10"/>
      <color indexed="8"/>
      <name val="Times New Roman"/>
      <family val="1"/>
      <charset val="238"/>
    </font>
    <font>
      <b/>
      <sz val="10"/>
      <color indexed="8"/>
      <name val="Times New Roman"/>
      <family val="1"/>
      <charset val="238"/>
    </font>
    <font>
      <sz val="10"/>
      <color indexed="8"/>
      <name val="Times New Roman"/>
      <family val="1"/>
      <charset val="238"/>
    </font>
    <font>
      <sz val="9"/>
      <color indexed="12"/>
      <name val="Times New Roman"/>
      <family val="1"/>
      <charset val="238"/>
    </font>
    <font>
      <sz val="8"/>
      <color indexed="14"/>
      <name val="Helvetica"/>
      <family val="2"/>
    </font>
    <font>
      <sz val="14"/>
      <name val="Arial"/>
      <family val="2"/>
    </font>
    <font>
      <sz val="18"/>
      <name val="Arial"/>
      <family val="2"/>
    </font>
    <font>
      <sz val="9.5"/>
      <color indexed="23"/>
      <name val="Helvetica-Black"/>
    </font>
    <font>
      <sz val="8"/>
      <color indexed="9"/>
      <name val="Arial Black"/>
      <family val="2"/>
    </font>
    <font>
      <b/>
      <sz val="24"/>
      <name val="Arial"/>
      <family val="2"/>
    </font>
    <font>
      <b/>
      <u/>
      <sz val="14"/>
      <name val="Arial MT"/>
    </font>
    <font>
      <b/>
      <sz val="11"/>
      <color indexed="8"/>
      <name val="Arial"/>
      <family val="2"/>
    </font>
    <font>
      <b/>
      <sz val="11"/>
      <color indexed="39"/>
      <name val="Arial"/>
      <family val="2"/>
    </font>
    <font>
      <sz val="10"/>
      <color indexed="39"/>
      <name val="Arial"/>
      <family val="2"/>
    </font>
    <font>
      <b/>
      <sz val="11"/>
      <color indexed="10"/>
      <name val="Arial"/>
      <family val="2"/>
    </font>
    <font>
      <sz val="10"/>
      <color indexed="10"/>
      <name val="Arial"/>
      <family val="2"/>
    </font>
    <font>
      <b/>
      <sz val="11"/>
      <color indexed="23"/>
      <name val="Arial"/>
      <family val="2"/>
    </font>
    <font>
      <sz val="10"/>
      <color indexed="23"/>
      <name val="Arial"/>
      <family val="2"/>
    </font>
    <font>
      <b/>
      <sz val="11"/>
      <color indexed="9"/>
      <name val="Arial"/>
      <family val="2"/>
    </font>
    <font>
      <sz val="9"/>
      <color indexed="8"/>
      <name val="Arial"/>
      <family val="2"/>
    </font>
    <font>
      <sz val="9"/>
      <color indexed="39"/>
      <name val="Arial"/>
      <family val="2"/>
    </font>
    <font>
      <sz val="9"/>
      <color indexed="10"/>
      <name val="Arial"/>
      <family val="2"/>
    </font>
    <font>
      <b/>
      <sz val="11"/>
      <color indexed="33"/>
      <name val="Arial"/>
      <family val="2"/>
    </font>
    <font>
      <sz val="9"/>
      <color indexed="33"/>
      <name val="Arial"/>
      <family val="2"/>
    </font>
    <font>
      <sz val="9"/>
      <color indexed="9"/>
      <name val="Arial"/>
      <family val="2"/>
    </font>
    <font>
      <sz val="10"/>
      <name val="Arial Black"/>
      <family val="2"/>
    </font>
    <font>
      <b/>
      <sz val="10"/>
      <color indexed="16"/>
      <name val="Courier"/>
      <family val="3"/>
    </font>
    <font>
      <b/>
      <sz val="12"/>
      <name val="Arial Narrow"/>
      <family val="2"/>
    </font>
    <font>
      <b/>
      <sz val="9"/>
      <name val="Palatino"/>
      <family val="1"/>
    </font>
    <font>
      <sz val="9"/>
      <color indexed="21"/>
      <name val="Helvetica-Black"/>
    </font>
    <font>
      <sz val="9"/>
      <name val="Helvetica-Black"/>
    </font>
    <font>
      <sz val="6"/>
      <name val="Arial"/>
      <family val="2"/>
    </font>
    <font>
      <b/>
      <sz val="12"/>
      <name val="GillSans"/>
      <family val="2"/>
    </font>
    <font>
      <sz val="12"/>
      <color indexed="8"/>
      <name val="Palatino"/>
      <family val="1"/>
    </font>
    <font>
      <sz val="11"/>
      <name val="Helvetica-Black"/>
    </font>
    <font>
      <sz val="11"/>
      <color indexed="8"/>
      <name val="Helvetica-Black"/>
    </font>
    <font>
      <sz val="10"/>
      <name val="Helvetica-Narrow"/>
      <family val="2"/>
    </font>
    <font>
      <b/>
      <sz val="10"/>
      <name val="Helvetica-Narrow"/>
      <family val="2"/>
    </font>
    <font>
      <b/>
      <sz val="11"/>
      <name val="Times New Roman"/>
      <family val="1"/>
    </font>
    <font>
      <b/>
      <sz val="16"/>
      <name val="Times New Roman"/>
      <family val="1"/>
    </font>
    <font>
      <b/>
      <u/>
      <sz val="9"/>
      <name val="Arial"/>
      <family val="2"/>
    </font>
    <font>
      <b/>
      <sz val="14"/>
      <color indexed="10"/>
      <name val="Arial"/>
      <family val="2"/>
    </font>
    <font>
      <b/>
      <sz val="14"/>
      <name val="Palatino"/>
      <family val="1"/>
    </font>
    <font>
      <b/>
      <sz val="8"/>
      <color indexed="18"/>
      <name val="Times New Roman"/>
      <family val="1"/>
    </font>
    <font>
      <b/>
      <sz val="7"/>
      <name val="Arial"/>
      <family val="2"/>
    </font>
    <font>
      <b/>
      <sz val="12"/>
      <name val="Helvetica-Narrow"/>
      <family val="2"/>
    </font>
    <font>
      <b/>
      <u/>
      <sz val="12"/>
      <name val="Arial"/>
      <family val="2"/>
    </font>
    <font>
      <u/>
      <sz val="11"/>
      <name val="GillSans"/>
      <family val="2"/>
    </font>
    <font>
      <sz val="10"/>
      <color indexed="32"/>
      <name val="Arial"/>
      <family val="2"/>
    </font>
    <font>
      <i/>
      <sz val="10"/>
      <name val="Times New Roman"/>
      <family val="1"/>
    </font>
    <font>
      <b/>
      <sz val="7"/>
      <color indexed="12"/>
      <name val="Arial"/>
      <family val="2"/>
    </font>
    <font>
      <u/>
      <sz val="8"/>
      <color indexed="8"/>
      <name val="Arial"/>
      <family val="2"/>
    </font>
    <font>
      <sz val="12"/>
      <color indexed="14"/>
      <name val="Times New Roman"/>
      <family val="1"/>
    </font>
    <font>
      <sz val="8"/>
      <color indexed="9"/>
      <name val="Arial"/>
      <family val="2"/>
    </font>
    <font>
      <sz val="8"/>
      <name val="Trebuchet MS"/>
      <family val="2"/>
    </font>
    <font>
      <sz val="10"/>
      <color indexed="18"/>
      <name val="Trebuchet MS"/>
      <family val="2"/>
    </font>
    <font>
      <b/>
      <sz val="14"/>
      <color indexed="9"/>
      <name val="Trebuchet MS"/>
      <family val="2"/>
    </font>
    <font>
      <b/>
      <sz val="12"/>
      <color indexed="9"/>
      <name val="Trebuchet MS"/>
      <family val="2"/>
    </font>
    <font>
      <sz val="11"/>
      <name val="Trebuchet MS"/>
      <family val="2"/>
    </font>
    <font>
      <b/>
      <sz val="9"/>
      <name val="Trebuchet MS"/>
      <family val="2"/>
    </font>
    <font>
      <sz val="8"/>
      <name val="Arial"/>
      <family val="2"/>
    </font>
    <font>
      <sz val="10"/>
      <color indexed="9"/>
      <name val="Trebuchet MS"/>
      <family val="2"/>
    </font>
    <font>
      <sz val="10"/>
      <color indexed="10"/>
      <name val="Trebuchet MS"/>
      <family val="2"/>
    </font>
    <font>
      <b/>
      <sz val="10"/>
      <color indexed="10"/>
      <name val="Trebuchet MS"/>
      <family val="2"/>
    </font>
    <font>
      <b/>
      <sz val="8"/>
      <name val="Trebuchet MS"/>
      <family val="2"/>
    </font>
    <font>
      <sz val="11"/>
      <color indexed="10"/>
      <name val="Trebuchet MS"/>
      <family val="2"/>
    </font>
    <font>
      <sz val="10"/>
      <name val="Arial"/>
      <family val="2"/>
    </font>
    <font>
      <sz val="8"/>
      <color indexed="81"/>
      <name val="Segoe UI"/>
      <family val="2"/>
    </font>
    <font>
      <b/>
      <sz val="18"/>
      <name val="Arial"/>
      <family val="2"/>
    </font>
    <font>
      <b/>
      <sz val="8"/>
      <color indexed="81"/>
      <name val="Segoe UI"/>
      <family val="2"/>
    </font>
    <font>
      <sz val="16"/>
      <name val="Arial"/>
      <family val="2"/>
    </font>
    <font>
      <sz val="15"/>
      <name val="Arial"/>
      <family val="2"/>
    </font>
    <font>
      <u/>
      <sz val="15"/>
      <color indexed="12"/>
      <name val="Arial"/>
      <family val="2"/>
    </font>
    <font>
      <sz val="11"/>
      <color theme="1"/>
      <name val="Calibri"/>
      <family val="2"/>
      <scheme val="minor"/>
    </font>
    <font>
      <sz val="8"/>
      <color theme="0"/>
      <name val="Arial"/>
      <family val="2"/>
    </font>
    <font>
      <sz val="8"/>
      <color rgb="FFFF0000"/>
      <name val="Arial"/>
      <family val="2"/>
    </font>
    <font>
      <b/>
      <sz val="8"/>
      <color theme="0"/>
      <name val="Arial"/>
      <family val="2"/>
    </font>
    <font>
      <sz val="8"/>
      <color rgb="FFFFFF00"/>
      <name val="Arial"/>
      <family val="2"/>
    </font>
    <font>
      <b/>
      <sz val="18"/>
      <color theme="0"/>
      <name val="Arial"/>
      <family val="2"/>
    </font>
    <font>
      <b/>
      <sz val="15"/>
      <color rgb="FF005945"/>
      <name val="Arial"/>
      <family val="2"/>
    </font>
    <font>
      <b/>
      <u/>
      <sz val="16"/>
      <color rgb="FF005945"/>
      <name val="Arial"/>
      <family val="2"/>
    </font>
    <font>
      <sz val="10"/>
      <color theme="0"/>
      <name val="Trebuchet MS"/>
      <family val="2"/>
    </font>
    <font>
      <sz val="9"/>
      <color indexed="81"/>
      <name val="Segoe UI"/>
      <charset val="1"/>
    </font>
    <font>
      <b/>
      <sz val="9"/>
      <color indexed="81"/>
      <name val="Segoe UI"/>
      <charset val="1"/>
    </font>
    <font>
      <b/>
      <sz val="8"/>
      <color theme="1"/>
      <name val="Arial"/>
      <family val="2"/>
    </font>
  </fonts>
  <fills count="39">
    <fill>
      <patternFill patternType="none"/>
    </fill>
    <fill>
      <patternFill patternType="gray125"/>
    </fill>
    <fill>
      <patternFill patternType="solid">
        <fgColor indexed="22"/>
        <bgColor indexed="64"/>
      </patternFill>
    </fill>
    <fill>
      <patternFill patternType="solid">
        <fgColor indexed="22"/>
        <bgColor indexed="19"/>
      </patternFill>
    </fill>
    <fill>
      <patternFill patternType="solid">
        <fgColor indexed="44"/>
        <bgColor indexed="64"/>
      </patternFill>
    </fill>
    <fill>
      <patternFill patternType="solid">
        <fgColor indexed="26"/>
        <bgColor indexed="64"/>
      </patternFill>
    </fill>
    <fill>
      <patternFill patternType="solid">
        <fgColor indexed="38"/>
      </patternFill>
    </fill>
    <fill>
      <patternFill patternType="solid">
        <fgColor indexed="9"/>
        <bgColor indexed="64"/>
      </patternFill>
    </fill>
    <fill>
      <patternFill patternType="solid">
        <fgColor indexed="43"/>
        <bgColor indexed="64"/>
      </patternFill>
    </fill>
    <fill>
      <patternFill patternType="solid">
        <fgColor indexed="9"/>
      </patternFill>
    </fill>
    <fill>
      <patternFill patternType="solid">
        <fgColor indexed="24"/>
        <bgColor indexed="64"/>
      </patternFill>
    </fill>
    <fill>
      <patternFill patternType="solid">
        <fgColor indexed="15"/>
        <bgColor indexed="64"/>
      </patternFill>
    </fill>
    <fill>
      <patternFill patternType="solid">
        <fgColor indexed="15"/>
      </patternFill>
    </fill>
    <fill>
      <patternFill patternType="gray0625">
        <fgColor indexed="11"/>
      </patternFill>
    </fill>
    <fill>
      <patternFill patternType="solid">
        <fgColor indexed="12"/>
      </patternFill>
    </fill>
    <fill>
      <patternFill patternType="solid">
        <fgColor indexed="42"/>
        <bgColor indexed="64"/>
      </patternFill>
    </fill>
    <fill>
      <patternFill patternType="solid">
        <fgColor indexed="41"/>
        <bgColor indexed="64"/>
      </patternFill>
    </fill>
    <fill>
      <patternFill patternType="solid">
        <fgColor indexed="47"/>
        <bgColor indexed="64"/>
      </patternFill>
    </fill>
    <fill>
      <patternFill patternType="solid">
        <fgColor indexed="45"/>
        <bgColor indexed="64"/>
      </patternFill>
    </fill>
    <fill>
      <patternFill patternType="mediumGray">
        <fgColor indexed="22"/>
      </patternFill>
    </fill>
    <fill>
      <patternFill patternType="solid">
        <fgColor indexed="24"/>
      </patternFill>
    </fill>
    <fill>
      <patternFill patternType="solid">
        <fgColor indexed="63"/>
        <bgColor indexed="64"/>
      </patternFill>
    </fill>
    <fill>
      <patternFill patternType="solid">
        <fgColor indexed="62"/>
        <bgColor indexed="64"/>
      </patternFill>
    </fill>
    <fill>
      <patternFill patternType="solid">
        <fgColor indexed="9"/>
        <bgColor indexed="19"/>
      </patternFill>
    </fill>
    <fill>
      <patternFill patternType="solid">
        <fgColor indexed="58"/>
        <bgColor indexed="64"/>
      </patternFill>
    </fill>
    <fill>
      <patternFill patternType="solid">
        <fgColor indexed="39"/>
        <bgColor indexed="64"/>
      </patternFill>
    </fill>
    <fill>
      <patternFill patternType="solid">
        <fgColor indexed="8"/>
        <bgColor indexed="64"/>
      </patternFill>
    </fill>
    <fill>
      <patternFill patternType="solid">
        <fgColor indexed="16"/>
        <bgColor indexed="64"/>
      </patternFill>
    </fill>
    <fill>
      <patternFill patternType="solid">
        <fgColor indexed="11"/>
        <bgColor indexed="64"/>
      </patternFill>
    </fill>
    <fill>
      <patternFill patternType="solid">
        <fgColor indexed="9"/>
        <bgColor indexed="43"/>
      </patternFill>
    </fill>
    <fill>
      <patternFill patternType="lightGray">
        <fgColor indexed="13"/>
      </patternFill>
    </fill>
    <fill>
      <patternFill patternType="solid">
        <fgColor rgb="FFFFFF0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005945"/>
        <bgColor indexed="64"/>
      </patternFill>
    </fill>
    <fill>
      <patternFill patternType="solid">
        <fgColor theme="0" tint="-4.9989318521683403E-2"/>
        <bgColor indexed="64"/>
      </patternFill>
    </fill>
    <fill>
      <patternFill patternType="solid">
        <fgColor theme="6" tint="0.59999389629810485"/>
        <bgColor indexed="64"/>
      </patternFill>
    </fill>
    <fill>
      <patternFill patternType="solid">
        <fgColor rgb="FFFFFF66"/>
        <bgColor indexed="64"/>
      </patternFill>
    </fill>
    <fill>
      <patternFill patternType="solid">
        <fgColor theme="0"/>
        <bgColor indexed="64"/>
      </patternFill>
    </fill>
  </fills>
  <borders count="67">
    <border>
      <left/>
      <right/>
      <top/>
      <bottom/>
      <diagonal/>
    </border>
    <border>
      <left style="double">
        <color indexed="64"/>
      </left>
      <right/>
      <top/>
      <bottom style="hair">
        <color indexed="64"/>
      </bottom>
      <diagonal/>
    </border>
    <border>
      <left/>
      <right/>
      <top/>
      <bottom style="thin">
        <color indexed="64"/>
      </bottom>
      <diagonal/>
    </border>
    <border>
      <left/>
      <right style="thin">
        <color indexed="64"/>
      </right>
      <top/>
      <bottom/>
      <diagonal/>
    </border>
    <border>
      <left/>
      <right/>
      <top style="thin">
        <color indexed="64"/>
      </top>
      <bottom/>
      <diagonal/>
    </border>
    <border>
      <left/>
      <right/>
      <top/>
      <bottom style="medium">
        <color indexed="64"/>
      </bottom>
      <diagonal/>
    </border>
    <border>
      <left/>
      <right/>
      <top/>
      <bottom style="thin">
        <color indexed="22"/>
      </bottom>
      <diagonal/>
    </border>
    <border>
      <left/>
      <right/>
      <top style="thin">
        <color indexed="8"/>
      </top>
      <bottom/>
      <diagonal/>
    </border>
    <border>
      <left/>
      <right/>
      <top/>
      <bottom style="thin">
        <color indexed="8"/>
      </bottom>
      <diagonal/>
    </border>
    <border>
      <left style="thin">
        <color indexed="64"/>
      </left>
      <right style="thin">
        <color indexed="64"/>
      </right>
      <top style="thin">
        <color indexed="64"/>
      </top>
      <bottom/>
      <diagonal/>
    </border>
    <border>
      <left style="thin">
        <color indexed="23"/>
      </left>
      <right style="thin">
        <color indexed="23"/>
      </right>
      <top/>
      <bottom/>
      <diagonal/>
    </border>
    <border>
      <left/>
      <right style="thin">
        <color indexed="8"/>
      </right>
      <top style="thin">
        <color indexed="8"/>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bottom style="dotted">
        <color indexed="64"/>
      </bottom>
      <diagonal/>
    </border>
    <border>
      <left style="medium">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9"/>
      </left>
      <right style="thin">
        <color indexed="9"/>
      </right>
      <top/>
      <bottom/>
      <diagonal/>
    </border>
    <border>
      <left style="thin">
        <color indexed="64"/>
      </left>
      <right/>
      <top style="thin">
        <color indexed="64"/>
      </top>
      <bottom style="thin">
        <color indexed="64"/>
      </bottom>
      <diagonal/>
    </border>
    <border>
      <left/>
      <right/>
      <top style="medium">
        <color indexed="64"/>
      </top>
      <bottom style="medium">
        <color indexed="64"/>
      </bottom>
      <diagonal/>
    </border>
    <border>
      <left/>
      <right/>
      <top style="thin">
        <color indexed="64"/>
      </top>
      <bottom style="thin">
        <color indexed="64"/>
      </bottom>
      <diagonal/>
    </border>
    <border>
      <left style="double">
        <color indexed="64"/>
      </left>
      <right style="double">
        <color indexed="64"/>
      </right>
      <top style="double">
        <color indexed="64"/>
      </top>
      <bottom style="double">
        <color indexed="64"/>
      </bottom>
      <diagonal/>
    </border>
    <border>
      <left style="thick">
        <color indexed="9"/>
      </left>
      <right style="thick">
        <color indexed="9"/>
      </right>
      <top/>
      <bottom/>
      <diagonal/>
    </border>
    <border>
      <left/>
      <right style="thin">
        <color indexed="64"/>
      </right>
      <top style="thin">
        <color indexed="64"/>
      </top>
      <bottom/>
      <diagonal/>
    </border>
    <border>
      <left/>
      <right/>
      <top/>
      <bottom style="medium">
        <color indexed="45"/>
      </bottom>
      <diagonal/>
    </border>
    <border>
      <left style="thin">
        <color indexed="64"/>
      </left>
      <right style="thin">
        <color indexed="64"/>
      </right>
      <top/>
      <bottom/>
      <diagonal/>
    </border>
    <border>
      <left/>
      <right/>
      <top/>
      <bottom style="thin">
        <color indexed="45"/>
      </bottom>
      <diagonal/>
    </border>
    <border>
      <left/>
      <right/>
      <top style="medium">
        <color indexed="45"/>
      </top>
      <bottom/>
      <diagonal/>
    </border>
    <border>
      <left/>
      <right/>
      <top/>
      <bottom style="double">
        <color indexed="45"/>
      </bottom>
      <diagonal/>
    </border>
    <border>
      <left style="thin">
        <color indexed="22"/>
      </left>
      <right style="thin">
        <color indexed="22"/>
      </right>
      <top style="thin">
        <color indexed="22"/>
      </top>
      <bottom style="thin">
        <color indexed="22"/>
      </bottom>
      <diagonal/>
    </border>
    <border>
      <left style="double">
        <color indexed="10"/>
      </left>
      <right style="double">
        <color indexed="10"/>
      </right>
      <top style="double">
        <color indexed="10"/>
      </top>
      <bottom style="double">
        <color indexed="10"/>
      </bottom>
      <diagonal/>
    </border>
    <border>
      <left style="thin">
        <color indexed="64"/>
      </left>
      <right/>
      <top/>
      <bottom/>
      <diagonal/>
    </border>
    <border>
      <left style="thin">
        <color indexed="8"/>
      </left>
      <right style="thin">
        <color indexed="8"/>
      </right>
      <top/>
      <bottom style="thin">
        <color indexed="8"/>
      </bottom>
      <diagonal/>
    </border>
    <border>
      <left style="thin">
        <color indexed="8"/>
      </left>
      <right/>
      <top/>
      <bottom style="thin">
        <color indexed="8"/>
      </bottom>
      <diagonal/>
    </border>
    <border>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right/>
      <top/>
      <bottom style="thick">
        <color indexed="8"/>
      </bottom>
      <diagonal/>
    </border>
    <border>
      <left/>
      <right style="thick">
        <color indexed="8"/>
      </right>
      <top/>
      <bottom/>
      <diagonal/>
    </border>
    <border>
      <left style="thin">
        <color indexed="8"/>
      </left>
      <right style="thin">
        <color indexed="8"/>
      </right>
      <top/>
      <bottom/>
      <diagonal/>
    </border>
    <border>
      <left style="thin">
        <color indexed="8"/>
      </left>
      <right/>
      <top/>
      <bottom/>
      <diagonal/>
    </border>
    <border>
      <left style="thin">
        <color indexed="8"/>
      </left>
      <right/>
      <top style="thin">
        <color indexed="8"/>
      </top>
      <bottom style="thin">
        <color indexed="8"/>
      </bottom>
      <diagonal/>
    </border>
    <border>
      <left/>
      <right style="thin">
        <color indexed="8"/>
      </right>
      <top/>
      <bottom/>
      <diagonal/>
    </border>
    <border>
      <left/>
      <right style="thin">
        <color indexed="8"/>
      </right>
      <top style="thin">
        <color indexed="8"/>
      </top>
      <bottom style="thin">
        <color indexed="8"/>
      </bottom>
      <diagonal/>
    </border>
    <border>
      <left/>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diagonal/>
    </border>
    <border>
      <left/>
      <right/>
      <top style="medium">
        <color indexed="23"/>
      </top>
      <bottom style="medium">
        <color indexed="23"/>
      </bottom>
      <diagonal/>
    </border>
    <border>
      <left style="thick">
        <color indexed="9"/>
      </left>
      <right style="thick">
        <color indexed="9"/>
      </right>
      <top style="thick">
        <color indexed="9"/>
      </top>
      <bottom style="thick">
        <color indexed="9"/>
      </bottom>
      <diagonal/>
    </border>
    <border>
      <left/>
      <right/>
      <top/>
      <bottom style="thick">
        <color indexed="64"/>
      </bottom>
      <diagonal/>
    </border>
    <border>
      <left/>
      <right/>
      <top style="thick">
        <color indexed="64"/>
      </top>
      <bottom style="thin">
        <color indexed="64"/>
      </bottom>
      <diagonal/>
    </border>
    <border>
      <left style="hair">
        <color indexed="27"/>
      </left>
      <right style="hair">
        <color indexed="27"/>
      </right>
      <top style="hair">
        <color indexed="27"/>
      </top>
      <bottom style="hair">
        <color indexed="27"/>
      </bottom>
      <diagonal/>
    </border>
    <border>
      <left style="thick">
        <color indexed="64"/>
      </left>
      <right style="thin">
        <color indexed="64"/>
      </right>
      <top/>
      <bottom/>
      <diagonal/>
    </border>
    <border>
      <left/>
      <right/>
      <top style="thin">
        <color indexed="64"/>
      </top>
      <bottom style="medium">
        <color indexed="64"/>
      </bottom>
      <diagonal/>
    </border>
    <border>
      <left/>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
      <left/>
      <right/>
      <top style="thin">
        <color indexed="64"/>
      </top>
      <bottom style="hair">
        <color indexed="64"/>
      </bottom>
      <diagonal/>
    </border>
    <border>
      <left/>
      <right/>
      <top style="hair">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style="dotted">
        <color indexed="64"/>
      </left>
      <right style="dotted">
        <color indexed="64"/>
      </right>
      <top style="dotted">
        <color indexed="64"/>
      </top>
      <bottom style="dotted">
        <color indexed="64"/>
      </bottom>
      <diagonal/>
    </border>
  </borders>
  <cellStyleXfs count="1733">
    <xf numFmtId="176" fontId="0" fillId="0" borderId="0"/>
    <xf numFmtId="176" fontId="18" fillId="0" borderId="0"/>
    <xf numFmtId="176" fontId="13" fillId="0" borderId="0" applyNumberFormat="0" applyFill="0" applyBorder="0" applyAlignment="0" applyProtection="0"/>
    <xf numFmtId="176" fontId="44" fillId="0" borderId="0"/>
    <xf numFmtId="176" fontId="45" fillId="0" borderId="0">
      <alignment horizontal="right"/>
    </xf>
    <xf numFmtId="176" fontId="45" fillId="2" borderId="0"/>
    <xf numFmtId="176" fontId="46" fillId="2" borderId="0"/>
    <xf numFmtId="176" fontId="46" fillId="2" borderId="0"/>
    <xf numFmtId="176" fontId="46" fillId="2" borderId="0"/>
    <xf numFmtId="176" fontId="46" fillId="2" borderId="0">
      <alignment horizontal="right"/>
    </xf>
    <xf numFmtId="176" fontId="47" fillId="0" borderId="0" applyNumberFormat="0" applyFont="0" applyFill="0" applyBorder="0" applyAlignment="0" applyProtection="0"/>
    <xf numFmtId="168" fontId="42" fillId="0" borderId="0">
      <alignment horizontal="right"/>
    </xf>
    <xf numFmtId="176" fontId="18" fillId="0" borderId="0"/>
    <xf numFmtId="176" fontId="18" fillId="0" borderId="0">
      <alignment horizontal="left" wrapText="1"/>
    </xf>
    <xf numFmtId="176" fontId="18" fillId="0" borderId="0">
      <alignment horizontal="left" wrapText="1"/>
    </xf>
    <xf numFmtId="194" fontId="18" fillId="0" borderId="0">
      <alignment horizontal="left" wrapText="1"/>
    </xf>
    <xf numFmtId="194" fontId="18" fillId="0" borderId="0">
      <alignment horizontal="left" wrapText="1"/>
    </xf>
    <xf numFmtId="194" fontId="18" fillId="0" borderId="0">
      <alignment horizontal="left" wrapText="1"/>
    </xf>
    <xf numFmtId="176" fontId="18" fillId="0" borderId="0">
      <alignment horizontal="left" wrapText="1"/>
    </xf>
    <xf numFmtId="176" fontId="18" fillId="0" borderId="0">
      <alignment horizontal="left" wrapText="1"/>
    </xf>
    <xf numFmtId="176" fontId="18" fillId="0" borderId="0">
      <alignment horizontal="left" wrapText="1"/>
    </xf>
    <xf numFmtId="194" fontId="18" fillId="0" borderId="0">
      <alignment horizontal="left" wrapText="1"/>
    </xf>
    <xf numFmtId="194" fontId="18" fillId="0" borderId="0">
      <alignment horizontal="left" wrapText="1"/>
    </xf>
    <xf numFmtId="194" fontId="18" fillId="0" borderId="0">
      <alignment horizontal="left" wrapText="1"/>
    </xf>
    <xf numFmtId="176" fontId="18" fillId="0" borderId="0">
      <alignment horizontal="left" wrapText="1"/>
    </xf>
    <xf numFmtId="194" fontId="18" fillId="0" borderId="0">
      <alignment horizontal="left" wrapText="1"/>
    </xf>
    <xf numFmtId="194" fontId="18" fillId="0" borderId="0">
      <alignment horizontal="left" wrapText="1"/>
    </xf>
    <xf numFmtId="194" fontId="18" fillId="0" borderId="0">
      <alignment horizontal="left" wrapText="1"/>
    </xf>
    <xf numFmtId="176" fontId="18" fillId="0" borderId="0">
      <alignment horizontal="left" wrapText="1"/>
    </xf>
    <xf numFmtId="176" fontId="18" fillId="0" borderId="0">
      <alignment horizontal="left" wrapText="1"/>
    </xf>
    <xf numFmtId="193" fontId="18" fillId="0" borderId="0">
      <alignment horizontal="left" wrapText="1"/>
    </xf>
    <xf numFmtId="193" fontId="18" fillId="0" borderId="0">
      <alignment horizontal="left" wrapText="1"/>
    </xf>
    <xf numFmtId="193" fontId="18" fillId="0" borderId="0">
      <alignment horizontal="left" wrapText="1"/>
    </xf>
    <xf numFmtId="176" fontId="18" fillId="0" borderId="0">
      <alignment horizontal="left" wrapText="1"/>
    </xf>
    <xf numFmtId="176" fontId="18" fillId="0" borderId="0">
      <alignment horizontal="left" wrapText="1"/>
    </xf>
    <xf numFmtId="176" fontId="18" fillId="0" borderId="0">
      <alignment horizontal="left" wrapText="1"/>
    </xf>
    <xf numFmtId="193" fontId="18" fillId="0" borderId="0">
      <alignment horizontal="left" wrapText="1"/>
    </xf>
    <xf numFmtId="193" fontId="18" fillId="0" borderId="0">
      <alignment horizontal="left" wrapText="1"/>
    </xf>
    <xf numFmtId="193" fontId="18" fillId="0" borderId="0">
      <alignment horizontal="left" wrapText="1"/>
    </xf>
    <xf numFmtId="176" fontId="18" fillId="0" borderId="0">
      <alignment horizontal="left" wrapText="1"/>
    </xf>
    <xf numFmtId="193" fontId="18" fillId="0" borderId="0">
      <alignment horizontal="left" wrapText="1"/>
    </xf>
    <xf numFmtId="193" fontId="18" fillId="0" borderId="0">
      <alignment horizontal="left" wrapText="1"/>
    </xf>
    <xf numFmtId="193" fontId="18" fillId="0" borderId="0">
      <alignment horizontal="left" wrapText="1"/>
    </xf>
    <xf numFmtId="176" fontId="18" fillId="0" borderId="0">
      <alignment horizontal="left" wrapText="1"/>
    </xf>
    <xf numFmtId="176" fontId="18" fillId="0" borderId="0">
      <alignment horizontal="left" wrapText="1"/>
    </xf>
    <xf numFmtId="194" fontId="18" fillId="0" borderId="0">
      <alignment horizontal="left" wrapText="1"/>
    </xf>
    <xf numFmtId="194" fontId="18" fillId="0" borderId="0">
      <alignment horizontal="left" wrapText="1"/>
    </xf>
    <xf numFmtId="194" fontId="18" fillId="0" borderId="0">
      <alignment horizontal="left" wrapText="1"/>
    </xf>
    <xf numFmtId="176" fontId="18" fillId="0" borderId="0">
      <alignment horizontal="left" wrapText="1"/>
    </xf>
    <xf numFmtId="176" fontId="18" fillId="0" borderId="0">
      <alignment horizontal="left" wrapText="1"/>
    </xf>
    <xf numFmtId="176" fontId="18" fillId="0" borderId="0">
      <alignment horizontal="left" wrapText="1"/>
    </xf>
    <xf numFmtId="194" fontId="18" fillId="0" borderId="0">
      <alignment horizontal="left" wrapText="1"/>
    </xf>
    <xf numFmtId="194" fontId="18" fillId="0" borderId="0">
      <alignment horizontal="left" wrapText="1"/>
    </xf>
    <xf numFmtId="194" fontId="18" fillId="0" borderId="0">
      <alignment horizontal="left" wrapText="1"/>
    </xf>
    <xf numFmtId="176" fontId="18" fillId="0" borderId="0">
      <alignment horizontal="left" wrapText="1"/>
    </xf>
    <xf numFmtId="194" fontId="18" fillId="0" borderId="0">
      <alignment horizontal="left" wrapText="1"/>
    </xf>
    <xf numFmtId="194" fontId="18" fillId="0" borderId="0">
      <alignment horizontal="left" wrapText="1"/>
    </xf>
    <xf numFmtId="194" fontId="18" fillId="0" borderId="0">
      <alignment horizontal="left" wrapText="1"/>
    </xf>
    <xf numFmtId="176" fontId="18" fillId="0" borderId="0">
      <alignment horizontal="left" wrapText="1"/>
    </xf>
    <xf numFmtId="176" fontId="18" fillId="0" borderId="0">
      <alignment horizontal="left" wrapText="1"/>
    </xf>
    <xf numFmtId="194" fontId="18" fillId="0" borderId="0">
      <alignment horizontal="left" wrapText="1"/>
    </xf>
    <xf numFmtId="194" fontId="18" fillId="0" borderId="0">
      <alignment horizontal="left" wrapText="1"/>
    </xf>
    <xf numFmtId="194" fontId="18" fillId="0" borderId="0">
      <alignment horizontal="left" wrapText="1"/>
    </xf>
    <xf numFmtId="176" fontId="18" fillId="0" borderId="0">
      <alignment horizontal="left" wrapText="1"/>
    </xf>
    <xf numFmtId="176" fontId="18" fillId="0" borderId="0">
      <alignment horizontal="left" wrapText="1"/>
    </xf>
    <xf numFmtId="176" fontId="18" fillId="0" borderId="0">
      <alignment horizontal="left" wrapText="1"/>
    </xf>
    <xf numFmtId="194" fontId="18" fillId="0" borderId="0">
      <alignment horizontal="left" wrapText="1"/>
    </xf>
    <xf numFmtId="194" fontId="18" fillId="0" borderId="0">
      <alignment horizontal="left" wrapText="1"/>
    </xf>
    <xf numFmtId="194" fontId="18" fillId="0" borderId="0">
      <alignment horizontal="left" wrapText="1"/>
    </xf>
    <xf numFmtId="176" fontId="18" fillId="0" borderId="0">
      <alignment horizontal="left" wrapText="1"/>
    </xf>
    <xf numFmtId="194" fontId="18" fillId="0" borderId="0">
      <alignment horizontal="left" wrapText="1"/>
    </xf>
    <xf numFmtId="194" fontId="18" fillId="0" borderId="0">
      <alignment horizontal="left" wrapText="1"/>
    </xf>
    <xf numFmtId="194" fontId="18" fillId="0" borderId="0">
      <alignment horizontal="left" wrapText="1"/>
    </xf>
    <xf numFmtId="176" fontId="18" fillId="0" borderId="0">
      <alignment horizontal="left" wrapText="1"/>
    </xf>
    <xf numFmtId="176" fontId="18" fillId="0" borderId="0">
      <alignment horizontal="left" wrapText="1"/>
    </xf>
    <xf numFmtId="194" fontId="18" fillId="0" borderId="0">
      <alignment horizontal="left" wrapText="1"/>
    </xf>
    <xf numFmtId="194" fontId="18" fillId="0" borderId="0">
      <alignment horizontal="left" wrapText="1"/>
    </xf>
    <xf numFmtId="194" fontId="18" fillId="0" borderId="0">
      <alignment horizontal="left" wrapText="1"/>
    </xf>
    <xf numFmtId="176" fontId="18" fillId="0" borderId="0">
      <alignment horizontal="left" wrapText="1"/>
    </xf>
    <xf numFmtId="176" fontId="18" fillId="0" borderId="0">
      <alignment horizontal="left" wrapText="1"/>
    </xf>
    <xf numFmtId="176" fontId="18" fillId="0" borderId="0">
      <alignment horizontal="left" wrapText="1"/>
    </xf>
    <xf numFmtId="194" fontId="18" fillId="0" borderId="0">
      <alignment horizontal="left" wrapText="1"/>
    </xf>
    <xf numFmtId="194" fontId="18" fillId="0" borderId="0">
      <alignment horizontal="left" wrapText="1"/>
    </xf>
    <xf numFmtId="194" fontId="18" fillId="0" borderId="0">
      <alignment horizontal="left" wrapText="1"/>
    </xf>
    <xf numFmtId="176" fontId="18" fillId="0" borderId="0">
      <alignment horizontal="left" wrapText="1"/>
    </xf>
    <xf numFmtId="194" fontId="18" fillId="0" borderId="0">
      <alignment horizontal="left" wrapText="1"/>
    </xf>
    <xf numFmtId="194" fontId="18" fillId="0" borderId="0">
      <alignment horizontal="left" wrapText="1"/>
    </xf>
    <xf numFmtId="194" fontId="18" fillId="0" borderId="0">
      <alignment horizontal="left" wrapText="1"/>
    </xf>
    <xf numFmtId="176" fontId="18" fillId="0" borderId="0">
      <alignment horizontal="left" wrapText="1"/>
    </xf>
    <xf numFmtId="176" fontId="18" fillId="0" borderId="0">
      <alignment horizontal="left" wrapText="1"/>
    </xf>
    <xf numFmtId="194" fontId="18" fillId="0" borderId="0">
      <alignment horizontal="left" wrapText="1"/>
    </xf>
    <xf numFmtId="194" fontId="18" fillId="0" borderId="0">
      <alignment horizontal="left" wrapText="1"/>
    </xf>
    <xf numFmtId="194" fontId="18" fillId="0" borderId="0">
      <alignment horizontal="left" wrapText="1"/>
    </xf>
    <xf numFmtId="176" fontId="18" fillId="0" borderId="0">
      <alignment horizontal="left" wrapText="1"/>
    </xf>
    <xf numFmtId="176" fontId="18" fillId="0" borderId="0">
      <alignment horizontal="left" wrapText="1"/>
    </xf>
    <xf numFmtId="176" fontId="18" fillId="0" borderId="0">
      <alignment horizontal="left" wrapText="1"/>
    </xf>
    <xf numFmtId="194" fontId="18" fillId="0" borderId="0">
      <alignment horizontal="left" wrapText="1"/>
    </xf>
    <xf numFmtId="194" fontId="18" fillId="0" borderId="0">
      <alignment horizontal="left" wrapText="1"/>
    </xf>
    <xf numFmtId="194" fontId="18" fillId="0" borderId="0">
      <alignment horizontal="left" wrapText="1"/>
    </xf>
    <xf numFmtId="176" fontId="18" fillId="0" borderId="0">
      <alignment horizontal="left" wrapText="1"/>
    </xf>
    <xf numFmtId="194" fontId="18" fillId="0" borderId="0">
      <alignment horizontal="left" wrapText="1"/>
    </xf>
    <xf numFmtId="194" fontId="18" fillId="0" borderId="0">
      <alignment horizontal="left" wrapText="1"/>
    </xf>
    <xf numFmtId="194" fontId="18" fillId="0" borderId="0">
      <alignment horizontal="left" wrapText="1"/>
    </xf>
    <xf numFmtId="176" fontId="18" fillId="0" borderId="0">
      <alignment horizontal="left" wrapText="1"/>
    </xf>
    <xf numFmtId="176" fontId="18" fillId="0" borderId="0">
      <alignment horizontal="left" wrapText="1"/>
    </xf>
    <xf numFmtId="194" fontId="18" fillId="0" borderId="0">
      <alignment horizontal="left" wrapText="1"/>
    </xf>
    <xf numFmtId="194" fontId="18" fillId="0" borderId="0">
      <alignment horizontal="left" wrapText="1"/>
    </xf>
    <xf numFmtId="194" fontId="18" fillId="0" borderId="0">
      <alignment horizontal="left" wrapText="1"/>
    </xf>
    <xf numFmtId="176" fontId="18" fillId="0" borderId="0">
      <alignment horizontal="left" wrapText="1"/>
    </xf>
    <xf numFmtId="176" fontId="18" fillId="0" borderId="0">
      <alignment horizontal="left" wrapText="1"/>
    </xf>
    <xf numFmtId="176" fontId="18" fillId="0" borderId="0">
      <alignment horizontal="left" wrapText="1"/>
    </xf>
    <xf numFmtId="194" fontId="18" fillId="0" borderId="0">
      <alignment horizontal="left" wrapText="1"/>
    </xf>
    <xf numFmtId="194" fontId="18" fillId="0" borderId="0">
      <alignment horizontal="left" wrapText="1"/>
    </xf>
    <xf numFmtId="194" fontId="18" fillId="0" borderId="0">
      <alignment horizontal="left" wrapText="1"/>
    </xf>
    <xf numFmtId="176" fontId="18" fillId="0" borderId="0">
      <alignment horizontal="left" wrapText="1"/>
    </xf>
    <xf numFmtId="194" fontId="18" fillId="0" borderId="0">
      <alignment horizontal="left" wrapText="1"/>
    </xf>
    <xf numFmtId="194" fontId="18" fillId="0" borderId="0">
      <alignment horizontal="left" wrapText="1"/>
    </xf>
    <xf numFmtId="194" fontId="18" fillId="0" borderId="0">
      <alignment horizontal="left" wrapText="1"/>
    </xf>
    <xf numFmtId="176" fontId="18" fillId="0" borderId="0">
      <alignment horizontal="left" wrapText="1"/>
    </xf>
    <xf numFmtId="176" fontId="18" fillId="0" borderId="0">
      <alignment horizontal="left" wrapText="1"/>
    </xf>
    <xf numFmtId="194" fontId="18" fillId="0" borderId="0">
      <alignment horizontal="left" wrapText="1"/>
    </xf>
    <xf numFmtId="194" fontId="18" fillId="0" borderId="0">
      <alignment horizontal="left" wrapText="1"/>
    </xf>
    <xf numFmtId="194" fontId="18" fillId="0" borderId="0">
      <alignment horizontal="left" wrapText="1"/>
    </xf>
    <xf numFmtId="176" fontId="18" fillId="0" borderId="0">
      <alignment horizontal="left" wrapText="1"/>
    </xf>
    <xf numFmtId="176" fontId="18" fillId="0" borderId="0">
      <alignment horizontal="left" wrapText="1"/>
    </xf>
    <xf numFmtId="176" fontId="18" fillId="0" borderId="0">
      <alignment horizontal="left" wrapText="1"/>
    </xf>
    <xf numFmtId="194" fontId="18" fillId="0" borderId="0">
      <alignment horizontal="left" wrapText="1"/>
    </xf>
    <xf numFmtId="194" fontId="18" fillId="0" borderId="0">
      <alignment horizontal="left" wrapText="1"/>
    </xf>
    <xf numFmtId="194" fontId="18" fillId="0" borderId="0">
      <alignment horizontal="left" wrapText="1"/>
    </xf>
    <xf numFmtId="176" fontId="18" fillId="0" borderId="0">
      <alignment horizontal="left" wrapText="1"/>
    </xf>
    <xf numFmtId="194" fontId="18" fillId="0" borderId="0">
      <alignment horizontal="left" wrapText="1"/>
    </xf>
    <xf numFmtId="194" fontId="18" fillId="0" borderId="0">
      <alignment horizontal="left" wrapText="1"/>
    </xf>
    <xf numFmtId="194" fontId="18" fillId="0" borderId="0">
      <alignment horizontal="left" wrapText="1"/>
    </xf>
    <xf numFmtId="176" fontId="18" fillId="0" borderId="0">
      <alignment horizontal="left" wrapText="1"/>
    </xf>
    <xf numFmtId="176" fontId="18" fillId="0" borderId="0">
      <alignment horizontal="left" wrapText="1"/>
    </xf>
    <xf numFmtId="194" fontId="18" fillId="0" borderId="0">
      <alignment horizontal="left" wrapText="1"/>
    </xf>
    <xf numFmtId="194" fontId="18" fillId="0" borderId="0">
      <alignment horizontal="left" wrapText="1"/>
    </xf>
    <xf numFmtId="194" fontId="18" fillId="0" borderId="0">
      <alignment horizontal="left" wrapText="1"/>
    </xf>
    <xf numFmtId="176" fontId="18" fillId="0" borderId="0">
      <alignment horizontal="left" wrapText="1"/>
    </xf>
    <xf numFmtId="176" fontId="18" fillId="0" borderId="0">
      <alignment horizontal="left" wrapText="1"/>
    </xf>
    <xf numFmtId="176" fontId="18" fillId="0" borderId="0">
      <alignment horizontal="left" wrapText="1"/>
    </xf>
    <xf numFmtId="194" fontId="18" fillId="0" borderId="0">
      <alignment horizontal="left" wrapText="1"/>
    </xf>
    <xf numFmtId="194" fontId="18" fillId="0" borderId="0">
      <alignment horizontal="left" wrapText="1"/>
    </xf>
    <xf numFmtId="194" fontId="18" fillId="0" borderId="0">
      <alignment horizontal="left" wrapText="1"/>
    </xf>
    <xf numFmtId="176" fontId="18" fillId="0" borderId="0">
      <alignment horizontal="left" wrapText="1"/>
    </xf>
    <xf numFmtId="194" fontId="18" fillId="0" borderId="0">
      <alignment horizontal="left" wrapText="1"/>
    </xf>
    <xf numFmtId="194" fontId="18" fillId="0" borderId="0">
      <alignment horizontal="left" wrapText="1"/>
    </xf>
    <xf numFmtId="194" fontId="18" fillId="0" borderId="0">
      <alignment horizontal="left" wrapText="1"/>
    </xf>
    <xf numFmtId="176" fontId="18" fillId="0" borderId="0">
      <alignment horizontal="left" wrapText="1"/>
    </xf>
    <xf numFmtId="176" fontId="18" fillId="0" borderId="0">
      <alignment horizontal="left" wrapText="1"/>
    </xf>
    <xf numFmtId="194" fontId="18" fillId="0" borderId="0">
      <alignment horizontal="left" wrapText="1"/>
    </xf>
    <xf numFmtId="194" fontId="18" fillId="0" borderId="0">
      <alignment horizontal="left" wrapText="1"/>
    </xf>
    <xf numFmtId="194" fontId="18" fillId="0" borderId="0">
      <alignment horizontal="left" wrapText="1"/>
    </xf>
    <xf numFmtId="176" fontId="18" fillId="0" borderId="0">
      <alignment horizontal="left" wrapText="1"/>
    </xf>
    <xf numFmtId="176" fontId="18" fillId="0" borderId="0">
      <alignment horizontal="left" wrapText="1"/>
    </xf>
    <xf numFmtId="176" fontId="18" fillId="0" borderId="0">
      <alignment horizontal="left" wrapText="1"/>
    </xf>
    <xf numFmtId="194" fontId="18" fillId="0" borderId="0">
      <alignment horizontal="left" wrapText="1"/>
    </xf>
    <xf numFmtId="194" fontId="18" fillId="0" borderId="0">
      <alignment horizontal="left" wrapText="1"/>
    </xf>
    <xf numFmtId="194" fontId="18" fillId="0" borderId="0">
      <alignment horizontal="left" wrapText="1"/>
    </xf>
    <xf numFmtId="176" fontId="18" fillId="0" borderId="0">
      <alignment horizontal="left" wrapText="1"/>
    </xf>
    <xf numFmtId="194" fontId="18" fillId="0" borderId="0">
      <alignment horizontal="left" wrapText="1"/>
    </xf>
    <xf numFmtId="194" fontId="18" fillId="0" borderId="0">
      <alignment horizontal="left" wrapText="1"/>
    </xf>
    <xf numFmtId="194" fontId="18" fillId="0" borderId="0">
      <alignment horizontal="left" wrapText="1"/>
    </xf>
    <xf numFmtId="176" fontId="18" fillId="0" borderId="0">
      <alignment horizontal="left" wrapText="1"/>
    </xf>
    <xf numFmtId="176" fontId="18" fillId="0" borderId="0">
      <alignment horizontal="left" wrapText="1"/>
    </xf>
    <xf numFmtId="194" fontId="18" fillId="0" borderId="0">
      <alignment horizontal="left" wrapText="1"/>
    </xf>
    <xf numFmtId="194" fontId="18" fillId="0" borderId="0">
      <alignment horizontal="left" wrapText="1"/>
    </xf>
    <xf numFmtId="194" fontId="18" fillId="0" borderId="0">
      <alignment horizontal="left" wrapText="1"/>
    </xf>
    <xf numFmtId="176" fontId="18" fillId="0" borderId="0">
      <alignment horizontal="left" wrapText="1"/>
    </xf>
    <xf numFmtId="176" fontId="18" fillId="0" borderId="0">
      <alignment horizontal="left" wrapText="1"/>
    </xf>
    <xf numFmtId="176" fontId="18" fillId="0" borderId="0">
      <alignment horizontal="left" wrapText="1"/>
    </xf>
    <xf numFmtId="194" fontId="18" fillId="0" borderId="0">
      <alignment horizontal="left" wrapText="1"/>
    </xf>
    <xf numFmtId="194" fontId="18" fillId="0" borderId="0">
      <alignment horizontal="left" wrapText="1"/>
    </xf>
    <xf numFmtId="194" fontId="18" fillId="0" borderId="0">
      <alignment horizontal="left" wrapText="1"/>
    </xf>
    <xf numFmtId="176" fontId="18" fillId="0" borderId="0">
      <alignment horizontal="left" wrapText="1"/>
    </xf>
    <xf numFmtId="194" fontId="18" fillId="0" borderId="0">
      <alignment horizontal="left" wrapText="1"/>
    </xf>
    <xf numFmtId="194" fontId="18" fillId="0" borderId="0">
      <alignment horizontal="left" wrapText="1"/>
    </xf>
    <xf numFmtId="194" fontId="18" fillId="0" borderId="0">
      <alignment horizontal="left" wrapText="1"/>
    </xf>
    <xf numFmtId="176" fontId="18" fillId="0" borderId="0">
      <alignment horizontal="left" wrapText="1"/>
    </xf>
    <xf numFmtId="176" fontId="18" fillId="0" borderId="0">
      <alignment horizontal="left" wrapText="1"/>
    </xf>
    <xf numFmtId="194" fontId="18" fillId="0" borderId="0">
      <alignment horizontal="left" wrapText="1"/>
    </xf>
    <xf numFmtId="194" fontId="18" fillId="0" borderId="0">
      <alignment horizontal="left" wrapText="1"/>
    </xf>
    <xf numFmtId="194" fontId="18" fillId="0" borderId="0">
      <alignment horizontal="left" wrapText="1"/>
    </xf>
    <xf numFmtId="176" fontId="18" fillId="0" borderId="0">
      <alignment horizontal="left" wrapText="1"/>
    </xf>
    <xf numFmtId="176" fontId="18" fillId="0" borderId="0">
      <alignment horizontal="left" wrapText="1"/>
    </xf>
    <xf numFmtId="176" fontId="18" fillId="0" borderId="0">
      <alignment horizontal="left" wrapText="1"/>
    </xf>
    <xf numFmtId="194" fontId="18" fillId="0" borderId="0">
      <alignment horizontal="left" wrapText="1"/>
    </xf>
    <xf numFmtId="194" fontId="18" fillId="0" borderId="0">
      <alignment horizontal="left" wrapText="1"/>
    </xf>
    <xf numFmtId="194" fontId="18" fillId="0" borderId="0">
      <alignment horizontal="left" wrapText="1"/>
    </xf>
    <xf numFmtId="176" fontId="18" fillId="0" borderId="0">
      <alignment horizontal="left" wrapText="1"/>
    </xf>
    <xf numFmtId="194" fontId="18" fillId="0" borderId="0">
      <alignment horizontal="left" wrapText="1"/>
    </xf>
    <xf numFmtId="194" fontId="18" fillId="0" borderId="0">
      <alignment horizontal="left" wrapText="1"/>
    </xf>
    <xf numFmtId="194" fontId="18" fillId="0" borderId="0">
      <alignment horizontal="left" wrapText="1"/>
    </xf>
    <xf numFmtId="176" fontId="18" fillId="0" borderId="0">
      <alignment horizontal="left" wrapText="1"/>
    </xf>
    <xf numFmtId="176" fontId="18" fillId="0" borderId="0">
      <alignment horizontal="left" wrapText="1"/>
    </xf>
    <xf numFmtId="194" fontId="18" fillId="0" borderId="0">
      <alignment horizontal="left" wrapText="1"/>
    </xf>
    <xf numFmtId="194" fontId="18" fillId="0" borderId="0">
      <alignment horizontal="left" wrapText="1"/>
    </xf>
    <xf numFmtId="194" fontId="18" fillId="0" borderId="0">
      <alignment horizontal="left" wrapText="1"/>
    </xf>
    <xf numFmtId="176" fontId="18" fillId="0" borderId="0">
      <alignment horizontal="left" wrapText="1"/>
    </xf>
    <xf numFmtId="176" fontId="18" fillId="0" borderId="0">
      <alignment horizontal="left" wrapText="1"/>
    </xf>
    <xf numFmtId="176" fontId="18" fillId="0" borderId="0">
      <alignment horizontal="left" wrapText="1"/>
    </xf>
    <xf numFmtId="194" fontId="18" fillId="0" borderId="0">
      <alignment horizontal="left" wrapText="1"/>
    </xf>
    <xf numFmtId="194" fontId="18" fillId="0" borderId="0">
      <alignment horizontal="left" wrapText="1"/>
    </xf>
    <xf numFmtId="194" fontId="18" fillId="0" borderId="0">
      <alignment horizontal="left" wrapText="1"/>
    </xf>
    <xf numFmtId="176" fontId="18" fillId="0" borderId="0">
      <alignment horizontal="left" wrapText="1"/>
    </xf>
    <xf numFmtId="194" fontId="18" fillId="0" borderId="0">
      <alignment horizontal="left" wrapText="1"/>
    </xf>
    <xf numFmtId="194" fontId="18" fillId="0" borderId="0">
      <alignment horizontal="left" wrapText="1"/>
    </xf>
    <xf numFmtId="194" fontId="18" fillId="0" borderId="0">
      <alignment horizontal="left" wrapText="1"/>
    </xf>
    <xf numFmtId="176" fontId="18" fillId="0" borderId="0">
      <alignment horizontal="left" wrapText="1"/>
    </xf>
    <xf numFmtId="176" fontId="18" fillId="0" borderId="0">
      <alignment horizontal="left" wrapText="1"/>
    </xf>
    <xf numFmtId="194" fontId="18" fillId="0" borderId="0">
      <alignment horizontal="left" wrapText="1"/>
    </xf>
    <xf numFmtId="194" fontId="18" fillId="0" borderId="0">
      <alignment horizontal="left" wrapText="1"/>
    </xf>
    <xf numFmtId="194" fontId="18" fillId="0" borderId="0">
      <alignment horizontal="left" wrapText="1"/>
    </xf>
    <xf numFmtId="176" fontId="18" fillId="0" borderId="0">
      <alignment horizontal="left" wrapText="1"/>
    </xf>
    <xf numFmtId="176" fontId="18" fillId="0" borderId="0">
      <alignment horizontal="left" wrapText="1"/>
    </xf>
    <xf numFmtId="176" fontId="18" fillId="0" borderId="0">
      <alignment horizontal="left" wrapText="1"/>
    </xf>
    <xf numFmtId="194" fontId="18" fillId="0" borderId="0">
      <alignment horizontal="left" wrapText="1"/>
    </xf>
    <xf numFmtId="194" fontId="18" fillId="0" borderId="0">
      <alignment horizontal="left" wrapText="1"/>
    </xf>
    <xf numFmtId="194" fontId="18" fillId="0" borderId="0">
      <alignment horizontal="left" wrapText="1"/>
    </xf>
    <xf numFmtId="176" fontId="18" fillId="0" borderId="0">
      <alignment horizontal="left" wrapText="1"/>
    </xf>
    <xf numFmtId="194" fontId="18" fillId="0" borderId="0">
      <alignment horizontal="left" wrapText="1"/>
    </xf>
    <xf numFmtId="194" fontId="18" fillId="0" borderId="0">
      <alignment horizontal="left" wrapText="1"/>
    </xf>
    <xf numFmtId="194" fontId="18" fillId="0" borderId="0">
      <alignment horizontal="left" wrapText="1"/>
    </xf>
    <xf numFmtId="176" fontId="18" fillId="0" borderId="0">
      <alignment horizontal="left" wrapText="1"/>
    </xf>
    <xf numFmtId="176" fontId="18" fillId="0" borderId="0">
      <alignment horizontal="left" wrapText="1"/>
    </xf>
    <xf numFmtId="176" fontId="18" fillId="0" borderId="0">
      <alignment horizontal="left" wrapText="1"/>
    </xf>
    <xf numFmtId="174" fontId="18" fillId="0" borderId="0" applyFont="0" applyFill="0" applyBorder="0" applyAlignment="0" applyProtection="0"/>
    <xf numFmtId="176" fontId="18" fillId="0" borderId="0">
      <alignment horizontal="left" wrapText="1"/>
    </xf>
    <xf numFmtId="176" fontId="18" fillId="0" borderId="0">
      <alignment horizontal="left" wrapText="1"/>
    </xf>
    <xf numFmtId="194" fontId="18" fillId="0" borderId="0">
      <alignment horizontal="left" wrapText="1"/>
    </xf>
    <xf numFmtId="194" fontId="18" fillId="0" borderId="0">
      <alignment horizontal="left" wrapText="1"/>
    </xf>
    <xf numFmtId="194" fontId="18" fillId="0" borderId="0">
      <alignment horizontal="left" wrapText="1"/>
    </xf>
    <xf numFmtId="176" fontId="18" fillId="0" borderId="0">
      <alignment horizontal="left" wrapText="1"/>
    </xf>
    <xf numFmtId="176" fontId="18" fillId="0" borderId="0">
      <alignment horizontal="left" wrapText="1"/>
    </xf>
    <xf numFmtId="176" fontId="18" fillId="0" borderId="0">
      <alignment horizontal="left" wrapText="1"/>
    </xf>
    <xf numFmtId="194" fontId="18" fillId="0" borderId="0">
      <alignment horizontal="left" wrapText="1"/>
    </xf>
    <xf numFmtId="194" fontId="18" fillId="0" borderId="0">
      <alignment horizontal="left" wrapText="1"/>
    </xf>
    <xf numFmtId="194" fontId="18" fillId="0" borderId="0">
      <alignment horizontal="left" wrapText="1"/>
    </xf>
    <xf numFmtId="176" fontId="18" fillId="0" borderId="0">
      <alignment horizontal="left" wrapText="1"/>
    </xf>
    <xf numFmtId="194" fontId="18" fillId="0" borderId="0">
      <alignment horizontal="left" wrapText="1"/>
    </xf>
    <xf numFmtId="194" fontId="18" fillId="0" borderId="0">
      <alignment horizontal="left" wrapText="1"/>
    </xf>
    <xf numFmtId="194" fontId="18" fillId="0" borderId="0">
      <alignment horizontal="left" wrapText="1"/>
    </xf>
    <xf numFmtId="176" fontId="18" fillId="0" borderId="0">
      <alignment horizontal="left" wrapText="1"/>
    </xf>
    <xf numFmtId="194" fontId="18" fillId="0" borderId="0">
      <alignment horizontal="left" wrapText="1"/>
    </xf>
    <xf numFmtId="194" fontId="18" fillId="0" borderId="0">
      <alignment horizontal="left" wrapText="1"/>
    </xf>
    <xf numFmtId="194" fontId="18" fillId="0" borderId="0">
      <alignment horizontal="left" wrapText="1"/>
    </xf>
    <xf numFmtId="176" fontId="48" fillId="0" borderId="0">
      <alignment horizontal="left" wrapText="1"/>
    </xf>
    <xf numFmtId="176" fontId="48" fillId="0" borderId="0">
      <alignment horizontal="left" wrapText="1"/>
    </xf>
    <xf numFmtId="176" fontId="48" fillId="0" borderId="0">
      <alignment horizontal="left" wrapText="1"/>
    </xf>
    <xf numFmtId="189" fontId="48" fillId="0" borderId="0">
      <alignment horizontal="left" wrapText="1"/>
    </xf>
    <xf numFmtId="189" fontId="48" fillId="0" borderId="0">
      <alignment horizontal="left" wrapText="1"/>
    </xf>
    <xf numFmtId="189" fontId="48" fillId="0" borderId="0">
      <alignment horizontal="left" wrapText="1"/>
    </xf>
    <xf numFmtId="176" fontId="48" fillId="0" borderId="0">
      <alignment horizontal="left" wrapText="1"/>
    </xf>
    <xf numFmtId="176" fontId="48" fillId="0" borderId="0">
      <alignment horizontal="left" wrapText="1"/>
    </xf>
    <xf numFmtId="176" fontId="48" fillId="0" borderId="0">
      <alignment horizontal="left" wrapText="1"/>
    </xf>
    <xf numFmtId="189" fontId="48" fillId="0" borderId="0">
      <alignment horizontal="left" wrapText="1"/>
    </xf>
    <xf numFmtId="189" fontId="48" fillId="0" borderId="0">
      <alignment horizontal="left" wrapText="1"/>
    </xf>
    <xf numFmtId="189" fontId="48" fillId="0" borderId="0">
      <alignment horizontal="left" wrapText="1"/>
    </xf>
    <xf numFmtId="176" fontId="48" fillId="0" borderId="0">
      <alignment horizontal="left" wrapText="1"/>
    </xf>
    <xf numFmtId="189" fontId="48" fillId="0" borderId="0">
      <alignment horizontal="left" wrapText="1"/>
    </xf>
    <xf numFmtId="189" fontId="48" fillId="0" borderId="0">
      <alignment horizontal="left" wrapText="1"/>
    </xf>
    <xf numFmtId="189" fontId="48" fillId="0" borderId="0">
      <alignment horizontal="left" wrapText="1"/>
    </xf>
    <xf numFmtId="176" fontId="48" fillId="0" borderId="0">
      <alignment horizontal="left" wrapText="1"/>
    </xf>
    <xf numFmtId="176" fontId="48" fillId="0" borderId="0">
      <alignment horizontal="left" wrapText="1"/>
    </xf>
    <xf numFmtId="189" fontId="48" fillId="0" borderId="0">
      <alignment horizontal="left" wrapText="1"/>
    </xf>
    <xf numFmtId="189" fontId="48" fillId="0" borderId="0">
      <alignment horizontal="left" wrapText="1"/>
    </xf>
    <xf numFmtId="189" fontId="48" fillId="0" borderId="0">
      <alignment horizontal="left" wrapText="1"/>
    </xf>
    <xf numFmtId="176" fontId="48" fillId="0" borderId="0">
      <alignment horizontal="left" wrapText="1"/>
    </xf>
    <xf numFmtId="176" fontId="48" fillId="0" borderId="0">
      <alignment horizontal="left" wrapText="1"/>
    </xf>
    <xf numFmtId="176" fontId="48" fillId="0" borderId="0">
      <alignment horizontal="left" wrapText="1"/>
    </xf>
    <xf numFmtId="189" fontId="48" fillId="0" borderId="0">
      <alignment horizontal="left" wrapText="1"/>
    </xf>
    <xf numFmtId="189" fontId="48" fillId="0" borderId="0">
      <alignment horizontal="left" wrapText="1"/>
    </xf>
    <xf numFmtId="189" fontId="48" fillId="0" borderId="0">
      <alignment horizontal="left" wrapText="1"/>
    </xf>
    <xf numFmtId="176" fontId="48" fillId="0" borderId="0">
      <alignment horizontal="left" wrapText="1"/>
    </xf>
    <xf numFmtId="189" fontId="48" fillId="0" borderId="0">
      <alignment horizontal="left" wrapText="1"/>
    </xf>
    <xf numFmtId="189" fontId="48" fillId="0" borderId="0">
      <alignment horizontal="left" wrapText="1"/>
    </xf>
    <xf numFmtId="189" fontId="48" fillId="0" borderId="0">
      <alignment horizontal="left" wrapText="1"/>
    </xf>
    <xf numFmtId="176" fontId="18" fillId="0" borderId="0">
      <alignment horizontal="left" wrapText="1"/>
    </xf>
    <xf numFmtId="176" fontId="18" fillId="0" borderId="0">
      <alignment horizontal="left" wrapText="1"/>
    </xf>
    <xf numFmtId="181" fontId="18" fillId="0" borderId="0">
      <alignment horizontal="left" wrapText="1"/>
    </xf>
    <xf numFmtId="181" fontId="18" fillId="0" borderId="0">
      <alignment horizontal="left" wrapText="1"/>
    </xf>
    <xf numFmtId="181" fontId="18" fillId="0" borderId="0">
      <alignment horizontal="left" wrapText="1"/>
    </xf>
    <xf numFmtId="176" fontId="18" fillId="0" borderId="0">
      <alignment horizontal="left" wrapText="1"/>
    </xf>
    <xf numFmtId="176" fontId="18" fillId="0" borderId="0">
      <alignment horizontal="left" wrapText="1"/>
    </xf>
    <xf numFmtId="176" fontId="18" fillId="0" borderId="0">
      <alignment horizontal="left" wrapText="1"/>
    </xf>
    <xf numFmtId="181" fontId="18" fillId="0" borderId="0">
      <alignment horizontal="left" wrapText="1"/>
    </xf>
    <xf numFmtId="181" fontId="18" fillId="0" borderId="0">
      <alignment horizontal="left" wrapText="1"/>
    </xf>
    <xf numFmtId="181" fontId="18" fillId="0" borderId="0">
      <alignment horizontal="left" wrapText="1"/>
    </xf>
    <xf numFmtId="176" fontId="18" fillId="0" borderId="0">
      <alignment horizontal="left" wrapText="1"/>
    </xf>
    <xf numFmtId="181" fontId="18" fillId="0" borderId="0">
      <alignment horizontal="left" wrapText="1"/>
    </xf>
    <xf numFmtId="181" fontId="18" fillId="0" borderId="0">
      <alignment horizontal="left" wrapText="1"/>
    </xf>
    <xf numFmtId="181" fontId="18" fillId="0" borderId="0">
      <alignment horizontal="left" wrapText="1"/>
    </xf>
    <xf numFmtId="176" fontId="18" fillId="0" borderId="0">
      <alignment horizontal="left" wrapText="1"/>
    </xf>
    <xf numFmtId="176" fontId="18" fillId="0" borderId="0">
      <alignment horizontal="left" wrapText="1"/>
    </xf>
    <xf numFmtId="194" fontId="18" fillId="0" borderId="0">
      <alignment horizontal="left" wrapText="1"/>
    </xf>
    <xf numFmtId="194" fontId="18" fillId="0" borderId="0">
      <alignment horizontal="left" wrapText="1"/>
    </xf>
    <xf numFmtId="194" fontId="18" fillId="0" borderId="0">
      <alignment horizontal="left" wrapText="1"/>
    </xf>
    <xf numFmtId="176" fontId="18" fillId="0" borderId="0">
      <alignment horizontal="left" wrapText="1"/>
    </xf>
    <xf numFmtId="176" fontId="18" fillId="0" borderId="0">
      <alignment horizontal="left" wrapText="1"/>
    </xf>
    <xf numFmtId="176" fontId="18" fillId="0" borderId="0">
      <alignment horizontal="left" wrapText="1"/>
    </xf>
    <xf numFmtId="194" fontId="18" fillId="0" borderId="0">
      <alignment horizontal="left" wrapText="1"/>
    </xf>
    <xf numFmtId="194" fontId="18" fillId="0" borderId="0">
      <alignment horizontal="left" wrapText="1"/>
    </xf>
    <xf numFmtId="194" fontId="18" fillId="0" borderId="0">
      <alignment horizontal="left" wrapText="1"/>
    </xf>
    <xf numFmtId="176" fontId="18" fillId="0" borderId="0">
      <alignment horizontal="left" wrapText="1"/>
    </xf>
    <xf numFmtId="194" fontId="18" fillId="0" borderId="0">
      <alignment horizontal="left" wrapText="1"/>
    </xf>
    <xf numFmtId="194" fontId="18" fillId="0" borderId="0">
      <alignment horizontal="left" wrapText="1"/>
    </xf>
    <xf numFmtId="194" fontId="18" fillId="0" borderId="0">
      <alignment horizontal="left" wrapText="1"/>
    </xf>
    <xf numFmtId="176" fontId="18" fillId="0" borderId="0">
      <alignment horizontal="left" wrapText="1"/>
    </xf>
    <xf numFmtId="176" fontId="18" fillId="0" borderId="0">
      <alignment horizontal="left" wrapText="1"/>
    </xf>
    <xf numFmtId="194" fontId="18" fillId="0" borderId="0">
      <alignment horizontal="left" wrapText="1"/>
    </xf>
    <xf numFmtId="194" fontId="18" fillId="0" borderId="0">
      <alignment horizontal="left" wrapText="1"/>
    </xf>
    <xf numFmtId="194" fontId="18" fillId="0" borderId="0">
      <alignment horizontal="left" wrapText="1"/>
    </xf>
    <xf numFmtId="176" fontId="18" fillId="0" borderId="0">
      <alignment horizontal="left" wrapText="1"/>
    </xf>
    <xf numFmtId="176" fontId="18" fillId="0" borderId="0">
      <alignment horizontal="left" wrapText="1"/>
    </xf>
    <xf numFmtId="176" fontId="18" fillId="0" borderId="0">
      <alignment horizontal="left" wrapText="1"/>
    </xf>
    <xf numFmtId="194" fontId="18" fillId="0" borderId="0">
      <alignment horizontal="left" wrapText="1"/>
    </xf>
    <xf numFmtId="194" fontId="18" fillId="0" borderId="0">
      <alignment horizontal="left" wrapText="1"/>
    </xf>
    <xf numFmtId="194" fontId="18" fillId="0" borderId="0">
      <alignment horizontal="left" wrapText="1"/>
    </xf>
    <xf numFmtId="176" fontId="18" fillId="0" borderId="0">
      <alignment horizontal="left" wrapText="1"/>
    </xf>
    <xf numFmtId="194" fontId="18" fillId="0" borderId="0">
      <alignment horizontal="left" wrapText="1"/>
    </xf>
    <xf numFmtId="194" fontId="18" fillId="0" borderId="0">
      <alignment horizontal="left" wrapText="1"/>
    </xf>
    <xf numFmtId="194" fontId="18" fillId="0" borderId="0">
      <alignment horizontal="left" wrapText="1"/>
    </xf>
    <xf numFmtId="176" fontId="18" fillId="0" borderId="0">
      <alignment horizontal="left" wrapText="1"/>
    </xf>
    <xf numFmtId="176" fontId="18" fillId="0" borderId="0">
      <alignment horizontal="left" wrapText="1"/>
    </xf>
    <xf numFmtId="194" fontId="18" fillId="0" borderId="0">
      <alignment horizontal="left" wrapText="1"/>
    </xf>
    <xf numFmtId="194" fontId="18" fillId="0" borderId="0">
      <alignment horizontal="left" wrapText="1"/>
    </xf>
    <xf numFmtId="194" fontId="18" fillId="0" borderId="0">
      <alignment horizontal="left" wrapText="1"/>
    </xf>
    <xf numFmtId="176" fontId="18" fillId="0" borderId="0">
      <alignment horizontal="left" wrapText="1"/>
    </xf>
    <xf numFmtId="176" fontId="18" fillId="0" borderId="0">
      <alignment horizontal="left" wrapText="1"/>
    </xf>
    <xf numFmtId="176" fontId="18" fillId="0" borderId="0">
      <alignment horizontal="left" wrapText="1"/>
    </xf>
    <xf numFmtId="194" fontId="18" fillId="0" borderId="0">
      <alignment horizontal="left" wrapText="1"/>
    </xf>
    <xf numFmtId="194" fontId="18" fillId="0" borderId="0">
      <alignment horizontal="left" wrapText="1"/>
    </xf>
    <xf numFmtId="194" fontId="18" fillId="0" borderId="0">
      <alignment horizontal="left" wrapText="1"/>
    </xf>
    <xf numFmtId="176" fontId="18" fillId="0" borderId="0">
      <alignment horizontal="left" wrapText="1"/>
    </xf>
    <xf numFmtId="194" fontId="18" fillId="0" borderId="0">
      <alignment horizontal="left" wrapText="1"/>
    </xf>
    <xf numFmtId="194" fontId="18" fillId="0" borderId="0">
      <alignment horizontal="left" wrapText="1"/>
    </xf>
    <xf numFmtId="194" fontId="18" fillId="0" borderId="0">
      <alignment horizontal="left" wrapText="1"/>
    </xf>
    <xf numFmtId="176" fontId="18" fillId="0" borderId="0">
      <alignment horizontal="left" wrapText="1"/>
    </xf>
    <xf numFmtId="176" fontId="18" fillId="0" borderId="0">
      <alignment horizontal="left" wrapText="1"/>
    </xf>
    <xf numFmtId="194" fontId="18" fillId="0" borderId="0">
      <alignment horizontal="left" wrapText="1"/>
    </xf>
    <xf numFmtId="194" fontId="18" fillId="0" borderId="0">
      <alignment horizontal="left" wrapText="1"/>
    </xf>
    <xf numFmtId="194" fontId="18" fillId="0" borderId="0">
      <alignment horizontal="left" wrapText="1"/>
    </xf>
    <xf numFmtId="176" fontId="18" fillId="0" borderId="0">
      <alignment horizontal="left" wrapText="1"/>
    </xf>
    <xf numFmtId="176" fontId="18" fillId="0" borderId="0">
      <alignment horizontal="left" wrapText="1"/>
    </xf>
    <xf numFmtId="176" fontId="18" fillId="0" borderId="0">
      <alignment horizontal="left" wrapText="1"/>
    </xf>
    <xf numFmtId="194" fontId="18" fillId="0" borderId="0">
      <alignment horizontal="left" wrapText="1"/>
    </xf>
    <xf numFmtId="194" fontId="18" fillId="0" borderId="0">
      <alignment horizontal="left" wrapText="1"/>
    </xf>
    <xf numFmtId="194" fontId="18" fillId="0" borderId="0">
      <alignment horizontal="left" wrapText="1"/>
    </xf>
    <xf numFmtId="176" fontId="18" fillId="0" borderId="0">
      <alignment horizontal="left" wrapText="1"/>
    </xf>
    <xf numFmtId="194" fontId="18" fillId="0" borderId="0">
      <alignment horizontal="left" wrapText="1"/>
    </xf>
    <xf numFmtId="194" fontId="18" fillId="0" borderId="0">
      <alignment horizontal="left" wrapText="1"/>
    </xf>
    <xf numFmtId="194" fontId="18" fillId="0" borderId="0">
      <alignment horizontal="left" wrapText="1"/>
    </xf>
    <xf numFmtId="176" fontId="18" fillId="0" borderId="0">
      <alignment horizontal="left" wrapText="1"/>
    </xf>
    <xf numFmtId="176" fontId="18" fillId="0" borderId="0">
      <alignment horizontal="left" wrapText="1"/>
    </xf>
    <xf numFmtId="194" fontId="18" fillId="0" borderId="0">
      <alignment horizontal="left" wrapText="1"/>
    </xf>
    <xf numFmtId="194" fontId="18" fillId="0" borderId="0">
      <alignment horizontal="left" wrapText="1"/>
    </xf>
    <xf numFmtId="194" fontId="18" fillId="0" borderId="0">
      <alignment horizontal="left" wrapText="1"/>
    </xf>
    <xf numFmtId="176" fontId="18" fillId="0" borderId="0">
      <alignment horizontal="left" wrapText="1"/>
    </xf>
    <xf numFmtId="176" fontId="18" fillId="0" borderId="0">
      <alignment horizontal="left" wrapText="1"/>
    </xf>
    <xf numFmtId="176" fontId="18" fillId="0" borderId="0">
      <alignment horizontal="left" wrapText="1"/>
    </xf>
    <xf numFmtId="194" fontId="18" fillId="0" borderId="0">
      <alignment horizontal="left" wrapText="1"/>
    </xf>
    <xf numFmtId="194" fontId="18" fillId="0" borderId="0">
      <alignment horizontal="left" wrapText="1"/>
    </xf>
    <xf numFmtId="194" fontId="18" fillId="0" borderId="0">
      <alignment horizontal="left" wrapText="1"/>
    </xf>
    <xf numFmtId="176" fontId="18" fillId="0" borderId="0">
      <alignment horizontal="left" wrapText="1"/>
    </xf>
    <xf numFmtId="194" fontId="18" fillId="0" borderId="0">
      <alignment horizontal="left" wrapText="1"/>
    </xf>
    <xf numFmtId="194" fontId="18" fillId="0" borderId="0">
      <alignment horizontal="left" wrapText="1"/>
    </xf>
    <xf numFmtId="194" fontId="18" fillId="0" borderId="0">
      <alignment horizontal="left" wrapText="1"/>
    </xf>
    <xf numFmtId="176" fontId="18" fillId="0" borderId="0">
      <alignment horizontal="left" wrapText="1"/>
    </xf>
    <xf numFmtId="176" fontId="18" fillId="0" borderId="0">
      <alignment horizontal="left" wrapText="1"/>
    </xf>
    <xf numFmtId="181" fontId="18" fillId="0" borderId="0">
      <alignment horizontal="left" wrapText="1"/>
    </xf>
    <xf numFmtId="181" fontId="18" fillId="0" borderId="0">
      <alignment horizontal="left" wrapText="1"/>
    </xf>
    <xf numFmtId="181" fontId="18" fillId="0" borderId="0">
      <alignment horizontal="left" wrapText="1"/>
    </xf>
    <xf numFmtId="176" fontId="18" fillId="0" borderId="0">
      <alignment horizontal="left" wrapText="1"/>
    </xf>
    <xf numFmtId="176" fontId="18" fillId="0" borderId="0">
      <alignment horizontal="left" wrapText="1"/>
    </xf>
    <xf numFmtId="176" fontId="18" fillId="0" borderId="0">
      <alignment horizontal="left" wrapText="1"/>
    </xf>
    <xf numFmtId="181" fontId="18" fillId="0" borderId="0">
      <alignment horizontal="left" wrapText="1"/>
    </xf>
    <xf numFmtId="181" fontId="18" fillId="0" borderId="0">
      <alignment horizontal="left" wrapText="1"/>
    </xf>
    <xf numFmtId="181" fontId="18" fillId="0" borderId="0">
      <alignment horizontal="left" wrapText="1"/>
    </xf>
    <xf numFmtId="176" fontId="18" fillId="0" borderId="0">
      <alignment horizontal="left" wrapText="1"/>
    </xf>
    <xf numFmtId="181" fontId="18" fillId="0" borderId="0">
      <alignment horizontal="left" wrapText="1"/>
    </xf>
    <xf numFmtId="181" fontId="18" fillId="0" borderId="0">
      <alignment horizontal="left" wrapText="1"/>
    </xf>
    <xf numFmtId="181" fontId="18" fillId="0" borderId="0">
      <alignment horizontal="left" wrapText="1"/>
    </xf>
    <xf numFmtId="176" fontId="18" fillId="0" borderId="0">
      <alignment horizontal="left" wrapText="1"/>
    </xf>
    <xf numFmtId="176" fontId="18" fillId="0" borderId="0">
      <alignment horizontal="left" wrapText="1"/>
    </xf>
    <xf numFmtId="193" fontId="18" fillId="0" borderId="0">
      <alignment horizontal="left" wrapText="1"/>
    </xf>
    <xf numFmtId="193" fontId="18" fillId="0" borderId="0">
      <alignment horizontal="left" wrapText="1"/>
    </xf>
    <xf numFmtId="193" fontId="18" fillId="0" borderId="0">
      <alignment horizontal="left" wrapText="1"/>
    </xf>
    <xf numFmtId="176" fontId="18" fillId="0" borderId="0">
      <alignment horizontal="left" wrapText="1"/>
    </xf>
    <xf numFmtId="176" fontId="18" fillId="0" borderId="0">
      <alignment horizontal="left" wrapText="1"/>
    </xf>
    <xf numFmtId="176" fontId="18" fillId="0" borderId="0">
      <alignment horizontal="left" wrapText="1"/>
    </xf>
    <xf numFmtId="193" fontId="18" fillId="0" borderId="0">
      <alignment horizontal="left" wrapText="1"/>
    </xf>
    <xf numFmtId="193" fontId="18" fillId="0" borderId="0">
      <alignment horizontal="left" wrapText="1"/>
    </xf>
    <xf numFmtId="193" fontId="18" fillId="0" borderId="0">
      <alignment horizontal="left" wrapText="1"/>
    </xf>
    <xf numFmtId="176" fontId="18" fillId="0" borderId="0">
      <alignment horizontal="left" wrapText="1"/>
    </xf>
    <xf numFmtId="193" fontId="18" fillId="0" borderId="0">
      <alignment horizontal="left" wrapText="1"/>
    </xf>
    <xf numFmtId="193" fontId="18" fillId="0" borderId="0">
      <alignment horizontal="left" wrapText="1"/>
    </xf>
    <xf numFmtId="193" fontId="18" fillId="0" borderId="0">
      <alignment horizontal="left" wrapText="1"/>
    </xf>
    <xf numFmtId="176" fontId="18" fillId="0" borderId="0">
      <alignment horizontal="left" wrapText="1"/>
    </xf>
    <xf numFmtId="176" fontId="18" fillId="0" borderId="0">
      <alignment horizontal="left" wrapText="1"/>
    </xf>
    <xf numFmtId="181" fontId="18" fillId="0" borderId="0">
      <alignment horizontal="left" wrapText="1"/>
    </xf>
    <xf numFmtId="181" fontId="18" fillId="0" borderId="0">
      <alignment horizontal="left" wrapText="1"/>
    </xf>
    <xf numFmtId="181" fontId="18" fillId="0" borderId="0">
      <alignment horizontal="left" wrapText="1"/>
    </xf>
    <xf numFmtId="176" fontId="18" fillId="0" borderId="0">
      <alignment horizontal="left" wrapText="1"/>
    </xf>
    <xf numFmtId="176" fontId="18" fillId="0" borderId="0">
      <alignment horizontal="left" wrapText="1"/>
    </xf>
    <xf numFmtId="176" fontId="18" fillId="0" borderId="0">
      <alignment horizontal="left" wrapText="1"/>
    </xf>
    <xf numFmtId="181" fontId="18" fillId="0" borderId="0">
      <alignment horizontal="left" wrapText="1"/>
    </xf>
    <xf numFmtId="181" fontId="18" fillId="0" borderId="0">
      <alignment horizontal="left" wrapText="1"/>
    </xf>
    <xf numFmtId="181" fontId="18" fillId="0" borderId="0">
      <alignment horizontal="left" wrapText="1"/>
    </xf>
    <xf numFmtId="176" fontId="18" fillId="0" borderId="0">
      <alignment horizontal="left" wrapText="1"/>
    </xf>
    <xf numFmtId="181" fontId="18" fillId="0" borderId="0">
      <alignment horizontal="left" wrapText="1"/>
    </xf>
    <xf numFmtId="181" fontId="18" fillId="0" borderId="0">
      <alignment horizontal="left" wrapText="1"/>
    </xf>
    <xf numFmtId="181" fontId="18" fillId="0" borderId="0">
      <alignment horizontal="left" wrapText="1"/>
    </xf>
    <xf numFmtId="176" fontId="18" fillId="0" borderId="0">
      <alignment horizontal="left" wrapText="1"/>
    </xf>
    <xf numFmtId="176" fontId="18" fillId="0" borderId="0">
      <alignment horizontal="left" wrapText="1"/>
    </xf>
    <xf numFmtId="181" fontId="18" fillId="0" borderId="0">
      <alignment horizontal="left" wrapText="1"/>
    </xf>
    <xf numFmtId="181" fontId="18" fillId="0" borderId="0">
      <alignment horizontal="left" wrapText="1"/>
    </xf>
    <xf numFmtId="181" fontId="18" fillId="0" borderId="0">
      <alignment horizontal="left" wrapText="1"/>
    </xf>
    <xf numFmtId="176" fontId="18" fillId="0" borderId="0">
      <alignment horizontal="left" wrapText="1"/>
    </xf>
    <xf numFmtId="176" fontId="18" fillId="0" borderId="0">
      <alignment horizontal="left" wrapText="1"/>
    </xf>
    <xf numFmtId="176" fontId="18" fillId="0" borderId="0">
      <alignment horizontal="left" wrapText="1"/>
    </xf>
    <xf numFmtId="181" fontId="18" fillId="0" borderId="0">
      <alignment horizontal="left" wrapText="1"/>
    </xf>
    <xf numFmtId="181" fontId="18" fillId="0" borderId="0">
      <alignment horizontal="left" wrapText="1"/>
    </xf>
    <xf numFmtId="181" fontId="18" fillId="0" borderId="0">
      <alignment horizontal="left" wrapText="1"/>
    </xf>
    <xf numFmtId="176" fontId="18" fillId="0" borderId="0">
      <alignment horizontal="left" wrapText="1"/>
    </xf>
    <xf numFmtId="181" fontId="18" fillId="0" borderId="0">
      <alignment horizontal="left" wrapText="1"/>
    </xf>
    <xf numFmtId="181" fontId="18" fillId="0" borderId="0">
      <alignment horizontal="left" wrapText="1"/>
    </xf>
    <xf numFmtId="181" fontId="18" fillId="0" borderId="0">
      <alignment horizontal="left" wrapText="1"/>
    </xf>
    <xf numFmtId="176" fontId="18" fillId="0" borderId="0">
      <alignment horizontal="left" wrapText="1"/>
    </xf>
    <xf numFmtId="176" fontId="18" fillId="0" borderId="0">
      <alignment horizontal="left" wrapText="1"/>
    </xf>
    <xf numFmtId="181" fontId="18" fillId="0" borderId="0">
      <alignment horizontal="left" wrapText="1"/>
    </xf>
    <xf numFmtId="181" fontId="18" fillId="0" borderId="0">
      <alignment horizontal="left" wrapText="1"/>
    </xf>
    <xf numFmtId="181" fontId="18" fillId="0" borderId="0">
      <alignment horizontal="left" wrapText="1"/>
    </xf>
    <xf numFmtId="176" fontId="18" fillId="0" borderId="0">
      <alignment horizontal="left" wrapText="1"/>
    </xf>
    <xf numFmtId="176" fontId="18" fillId="0" borderId="0">
      <alignment horizontal="left" wrapText="1"/>
    </xf>
    <xf numFmtId="176" fontId="18" fillId="0" borderId="0">
      <alignment horizontal="left" wrapText="1"/>
    </xf>
    <xf numFmtId="181" fontId="18" fillId="0" borderId="0">
      <alignment horizontal="left" wrapText="1"/>
    </xf>
    <xf numFmtId="181" fontId="18" fillId="0" borderId="0">
      <alignment horizontal="left" wrapText="1"/>
    </xf>
    <xf numFmtId="181" fontId="18" fillId="0" borderId="0">
      <alignment horizontal="left" wrapText="1"/>
    </xf>
    <xf numFmtId="176" fontId="18" fillId="0" borderId="0">
      <alignment horizontal="left" wrapText="1"/>
    </xf>
    <xf numFmtId="181" fontId="18" fillId="0" borderId="0">
      <alignment horizontal="left" wrapText="1"/>
    </xf>
    <xf numFmtId="181" fontId="18" fillId="0" borderId="0">
      <alignment horizontal="left" wrapText="1"/>
    </xf>
    <xf numFmtId="181" fontId="18" fillId="0" borderId="0">
      <alignment horizontal="left" wrapText="1"/>
    </xf>
    <xf numFmtId="176" fontId="18" fillId="0" borderId="0">
      <alignment horizontal="left" wrapText="1"/>
    </xf>
    <xf numFmtId="176" fontId="18" fillId="0" borderId="0">
      <alignment horizontal="left" wrapText="1"/>
    </xf>
    <xf numFmtId="181" fontId="18" fillId="0" borderId="0">
      <alignment horizontal="left" wrapText="1"/>
    </xf>
    <xf numFmtId="181" fontId="18" fillId="0" borderId="0">
      <alignment horizontal="left" wrapText="1"/>
    </xf>
    <xf numFmtId="181" fontId="18" fillId="0" borderId="0">
      <alignment horizontal="left" wrapText="1"/>
    </xf>
    <xf numFmtId="176" fontId="18" fillId="0" borderId="0">
      <alignment horizontal="left" wrapText="1"/>
    </xf>
    <xf numFmtId="176" fontId="18" fillId="0" borderId="0">
      <alignment horizontal="left" wrapText="1"/>
    </xf>
    <xf numFmtId="176" fontId="18" fillId="0" borderId="0">
      <alignment horizontal="left" wrapText="1"/>
    </xf>
    <xf numFmtId="181" fontId="18" fillId="0" borderId="0">
      <alignment horizontal="left" wrapText="1"/>
    </xf>
    <xf numFmtId="181" fontId="18" fillId="0" borderId="0">
      <alignment horizontal="left" wrapText="1"/>
    </xf>
    <xf numFmtId="181" fontId="18" fillId="0" borderId="0">
      <alignment horizontal="left" wrapText="1"/>
    </xf>
    <xf numFmtId="176" fontId="18" fillId="0" borderId="0">
      <alignment horizontal="left" wrapText="1"/>
    </xf>
    <xf numFmtId="181" fontId="18" fillId="0" borderId="0">
      <alignment horizontal="left" wrapText="1"/>
    </xf>
    <xf numFmtId="181" fontId="18" fillId="0" borderId="0">
      <alignment horizontal="left" wrapText="1"/>
    </xf>
    <xf numFmtId="181" fontId="18" fillId="0" borderId="0">
      <alignment horizontal="left" wrapText="1"/>
    </xf>
    <xf numFmtId="176" fontId="18" fillId="0" borderId="0">
      <alignment horizontal="left" wrapText="1"/>
    </xf>
    <xf numFmtId="176" fontId="18" fillId="0" borderId="0">
      <alignment horizontal="left" wrapText="1"/>
    </xf>
    <xf numFmtId="181" fontId="18" fillId="0" borderId="0">
      <alignment horizontal="left" wrapText="1"/>
    </xf>
    <xf numFmtId="181" fontId="18" fillId="0" borderId="0">
      <alignment horizontal="left" wrapText="1"/>
    </xf>
    <xf numFmtId="181" fontId="18" fillId="0" borderId="0">
      <alignment horizontal="left" wrapText="1"/>
    </xf>
    <xf numFmtId="176" fontId="18" fillId="0" borderId="0">
      <alignment horizontal="left" wrapText="1"/>
    </xf>
    <xf numFmtId="176" fontId="18" fillId="0" borderId="0">
      <alignment horizontal="left" wrapText="1"/>
    </xf>
    <xf numFmtId="176" fontId="18" fillId="0" borderId="0">
      <alignment horizontal="left" wrapText="1"/>
    </xf>
    <xf numFmtId="181" fontId="18" fillId="0" borderId="0">
      <alignment horizontal="left" wrapText="1"/>
    </xf>
    <xf numFmtId="181" fontId="18" fillId="0" borderId="0">
      <alignment horizontal="left" wrapText="1"/>
    </xf>
    <xf numFmtId="181" fontId="18" fillId="0" borderId="0">
      <alignment horizontal="left" wrapText="1"/>
    </xf>
    <xf numFmtId="176" fontId="18" fillId="0" borderId="0">
      <alignment horizontal="left" wrapText="1"/>
    </xf>
    <xf numFmtId="181" fontId="18" fillId="0" borderId="0">
      <alignment horizontal="left" wrapText="1"/>
    </xf>
    <xf numFmtId="181" fontId="18" fillId="0" borderId="0">
      <alignment horizontal="left" wrapText="1"/>
    </xf>
    <xf numFmtId="181" fontId="18" fillId="0" borderId="0">
      <alignment horizontal="left" wrapText="1"/>
    </xf>
    <xf numFmtId="176" fontId="48" fillId="0" borderId="0">
      <alignment horizontal="left" wrapText="1"/>
    </xf>
    <xf numFmtId="176" fontId="48" fillId="0" borderId="0">
      <alignment horizontal="left" wrapText="1"/>
    </xf>
    <xf numFmtId="189" fontId="48" fillId="0" borderId="0">
      <alignment horizontal="left" wrapText="1"/>
    </xf>
    <xf numFmtId="189" fontId="48" fillId="0" borderId="0">
      <alignment horizontal="left" wrapText="1"/>
    </xf>
    <xf numFmtId="189" fontId="48" fillId="0" borderId="0">
      <alignment horizontal="left" wrapText="1"/>
    </xf>
    <xf numFmtId="176" fontId="48" fillId="0" borderId="0">
      <alignment horizontal="left" wrapText="1"/>
    </xf>
    <xf numFmtId="176" fontId="48" fillId="0" borderId="0">
      <alignment horizontal="left" wrapText="1"/>
    </xf>
    <xf numFmtId="176" fontId="48" fillId="0" borderId="0">
      <alignment horizontal="left" wrapText="1"/>
    </xf>
    <xf numFmtId="189" fontId="48" fillId="0" borderId="0">
      <alignment horizontal="left" wrapText="1"/>
    </xf>
    <xf numFmtId="189" fontId="48" fillId="0" borderId="0">
      <alignment horizontal="left" wrapText="1"/>
    </xf>
    <xf numFmtId="189" fontId="48" fillId="0" borderId="0">
      <alignment horizontal="left" wrapText="1"/>
    </xf>
    <xf numFmtId="176" fontId="48" fillId="0" borderId="0">
      <alignment horizontal="left" wrapText="1"/>
    </xf>
    <xf numFmtId="189" fontId="48" fillId="0" borderId="0">
      <alignment horizontal="left" wrapText="1"/>
    </xf>
    <xf numFmtId="189" fontId="48" fillId="0" borderId="0">
      <alignment horizontal="left" wrapText="1"/>
    </xf>
    <xf numFmtId="189" fontId="48" fillId="0" borderId="0">
      <alignment horizontal="left" wrapText="1"/>
    </xf>
    <xf numFmtId="176" fontId="18" fillId="0" borderId="0">
      <alignment horizontal="left" wrapText="1"/>
    </xf>
    <xf numFmtId="176" fontId="18" fillId="0" borderId="0">
      <alignment horizontal="left" wrapText="1"/>
    </xf>
    <xf numFmtId="181" fontId="18" fillId="0" borderId="0">
      <alignment horizontal="left" wrapText="1"/>
    </xf>
    <xf numFmtId="181" fontId="18" fillId="0" borderId="0">
      <alignment horizontal="left" wrapText="1"/>
    </xf>
    <xf numFmtId="181" fontId="18" fillId="0" borderId="0">
      <alignment horizontal="left" wrapText="1"/>
    </xf>
    <xf numFmtId="176" fontId="18" fillId="0" borderId="0">
      <alignment horizontal="left" wrapText="1"/>
    </xf>
    <xf numFmtId="176" fontId="18" fillId="0" borderId="0">
      <alignment horizontal="left" wrapText="1"/>
    </xf>
    <xf numFmtId="176" fontId="18" fillId="0" borderId="0">
      <alignment horizontal="left" wrapText="1"/>
    </xf>
    <xf numFmtId="181" fontId="18" fillId="0" borderId="0">
      <alignment horizontal="left" wrapText="1"/>
    </xf>
    <xf numFmtId="181" fontId="18" fillId="0" borderId="0">
      <alignment horizontal="left" wrapText="1"/>
    </xf>
    <xf numFmtId="181" fontId="18" fillId="0" borderId="0">
      <alignment horizontal="left" wrapText="1"/>
    </xf>
    <xf numFmtId="176" fontId="18" fillId="0" borderId="0">
      <alignment horizontal="left" wrapText="1"/>
    </xf>
    <xf numFmtId="181" fontId="18" fillId="0" borderId="0">
      <alignment horizontal="left" wrapText="1"/>
    </xf>
    <xf numFmtId="181" fontId="18" fillId="0" borderId="0">
      <alignment horizontal="left" wrapText="1"/>
    </xf>
    <xf numFmtId="181" fontId="18" fillId="0" borderId="0">
      <alignment horizontal="left" wrapText="1"/>
    </xf>
    <xf numFmtId="176" fontId="18" fillId="0" borderId="0">
      <alignment horizontal="left" wrapText="1"/>
    </xf>
    <xf numFmtId="176" fontId="18" fillId="0" borderId="0">
      <alignment horizontal="left" wrapText="1"/>
    </xf>
    <xf numFmtId="181" fontId="18" fillId="0" borderId="0">
      <alignment horizontal="left" wrapText="1"/>
    </xf>
    <xf numFmtId="181" fontId="18" fillId="0" borderId="0">
      <alignment horizontal="left" wrapText="1"/>
    </xf>
    <xf numFmtId="181" fontId="18" fillId="0" borderId="0">
      <alignment horizontal="left" wrapText="1"/>
    </xf>
    <xf numFmtId="176" fontId="18" fillId="0" borderId="0">
      <alignment horizontal="left" wrapText="1"/>
    </xf>
    <xf numFmtId="176" fontId="18" fillId="0" borderId="0">
      <alignment horizontal="left" wrapText="1"/>
    </xf>
    <xf numFmtId="176" fontId="18" fillId="0" borderId="0">
      <alignment horizontal="left" wrapText="1"/>
    </xf>
    <xf numFmtId="181" fontId="18" fillId="0" borderId="0">
      <alignment horizontal="left" wrapText="1"/>
    </xf>
    <xf numFmtId="181" fontId="18" fillId="0" borderId="0">
      <alignment horizontal="left" wrapText="1"/>
    </xf>
    <xf numFmtId="181" fontId="18" fillId="0" borderId="0">
      <alignment horizontal="left" wrapText="1"/>
    </xf>
    <xf numFmtId="176" fontId="18" fillId="0" borderId="0">
      <alignment horizontal="left" wrapText="1"/>
    </xf>
    <xf numFmtId="181" fontId="18" fillId="0" borderId="0">
      <alignment horizontal="left" wrapText="1"/>
    </xf>
    <xf numFmtId="181" fontId="18" fillId="0" borderId="0">
      <alignment horizontal="left" wrapText="1"/>
    </xf>
    <xf numFmtId="181" fontId="18" fillId="0" borderId="0">
      <alignment horizontal="left" wrapText="1"/>
    </xf>
    <xf numFmtId="176" fontId="18" fillId="0" borderId="0">
      <alignment horizontal="left" wrapText="1"/>
    </xf>
    <xf numFmtId="176" fontId="18" fillId="0" borderId="0">
      <alignment horizontal="left" wrapText="1"/>
    </xf>
    <xf numFmtId="181" fontId="18" fillId="0" borderId="0">
      <alignment horizontal="left" wrapText="1"/>
    </xf>
    <xf numFmtId="181" fontId="18" fillId="0" borderId="0">
      <alignment horizontal="left" wrapText="1"/>
    </xf>
    <xf numFmtId="181" fontId="18" fillId="0" borderId="0">
      <alignment horizontal="left" wrapText="1"/>
    </xf>
    <xf numFmtId="176" fontId="18" fillId="0" borderId="0">
      <alignment horizontal="left" wrapText="1"/>
    </xf>
    <xf numFmtId="176" fontId="18" fillId="0" borderId="0">
      <alignment horizontal="left" wrapText="1"/>
    </xf>
    <xf numFmtId="176" fontId="18" fillId="0" borderId="0">
      <alignment horizontal="left" wrapText="1"/>
    </xf>
    <xf numFmtId="181" fontId="18" fillId="0" borderId="0">
      <alignment horizontal="left" wrapText="1"/>
    </xf>
    <xf numFmtId="181" fontId="18" fillId="0" borderId="0">
      <alignment horizontal="left" wrapText="1"/>
    </xf>
    <xf numFmtId="181" fontId="18" fillId="0" borderId="0">
      <alignment horizontal="left" wrapText="1"/>
    </xf>
    <xf numFmtId="176" fontId="18" fillId="0" borderId="0">
      <alignment horizontal="left" wrapText="1"/>
    </xf>
    <xf numFmtId="181" fontId="18" fillId="0" borderId="0">
      <alignment horizontal="left" wrapText="1"/>
    </xf>
    <xf numFmtId="181" fontId="18" fillId="0" borderId="0">
      <alignment horizontal="left" wrapText="1"/>
    </xf>
    <xf numFmtId="181" fontId="18" fillId="0" borderId="0">
      <alignment horizontal="left" wrapText="1"/>
    </xf>
    <xf numFmtId="176" fontId="18" fillId="0" borderId="0">
      <alignment horizontal="left" wrapText="1"/>
    </xf>
    <xf numFmtId="176" fontId="18" fillId="0" borderId="0">
      <alignment horizontal="left" wrapText="1"/>
    </xf>
    <xf numFmtId="181" fontId="18" fillId="0" borderId="0">
      <alignment horizontal="left" wrapText="1"/>
    </xf>
    <xf numFmtId="181" fontId="18" fillId="0" borderId="0">
      <alignment horizontal="left" wrapText="1"/>
    </xf>
    <xf numFmtId="181" fontId="18" fillId="0" borderId="0">
      <alignment horizontal="left" wrapText="1"/>
    </xf>
    <xf numFmtId="176" fontId="18" fillId="0" borderId="0">
      <alignment horizontal="left" wrapText="1"/>
    </xf>
    <xf numFmtId="176" fontId="18" fillId="0" borderId="0">
      <alignment horizontal="left" wrapText="1"/>
    </xf>
    <xf numFmtId="176" fontId="18" fillId="0" borderId="0">
      <alignment horizontal="left" wrapText="1"/>
    </xf>
    <xf numFmtId="181" fontId="18" fillId="0" borderId="0">
      <alignment horizontal="left" wrapText="1"/>
    </xf>
    <xf numFmtId="181" fontId="18" fillId="0" borderId="0">
      <alignment horizontal="left" wrapText="1"/>
    </xf>
    <xf numFmtId="181" fontId="18" fillId="0" borderId="0">
      <alignment horizontal="left" wrapText="1"/>
    </xf>
    <xf numFmtId="176" fontId="18" fillId="0" borderId="0">
      <alignment horizontal="left" wrapText="1"/>
    </xf>
    <xf numFmtId="181" fontId="18" fillId="0" borderId="0">
      <alignment horizontal="left" wrapText="1"/>
    </xf>
    <xf numFmtId="181" fontId="18" fillId="0" borderId="0">
      <alignment horizontal="left" wrapText="1"/>
    </xf>
    <xf numFmtId="181" fontId="18" fillId="0" borderId="0">
      <alignment horizontal="left" wrapText="1"/>
    </xf>
    <xf numFmtId="176" fontId="18" fillId="0" borderId="0">
      <alignment horizontal="left" wrapText="1"/>
    </xf>
    <xf numFmtId="176" fontId="18" fillId="0" borderId="0">
      <alignment horizontal="left" wrapText="1"/>
    </xf>
    <xf numFmtId="194" fontId="18" fillId="0" borderId="0">
      <alignment horizontal="left" wrapText="1"/>
    </xf>
    <xf numFmtId="194" fontId="18" fillId="0" borderId="0">
      <alignment horizontal="left" wrapText="1"/>
    </xf>
    <xf numFmtId="194" fontId="18" fillId="0" borderId="0">
      <alignment horizontal="left" wrapText="1"/>
    </xf>
    <xf numFmtId="176" fontId="18" fillId="0" borderId="0">
      <alignment horizontal="left" wrapText="1"/>
    </xf>
    <xf numFmtId="176" fontId="18" fillId="0" borderId="0">
      <alignment horizontal="left" wrapText="1"/>
    </xf>
    <xf numFmtId="176" fontId="18" fillId="0" borderId="0">
      <alignment horizontal="left" wrapText="1"/>
    </xf>
    <xf numFmtId="194" fontId="18" fillId="0" borderId="0">
      <alignment horizontal="left" wrapText="1"/>
    </xf>
    <xf numFmtId="194" fontId="18" fillId="0" borderId="0">
      <alignment horizontal="left" wrapText="1"/>
    </xf>
    <xf numFmtId="194" fontId="18" fillId="0" borderId="0">
      <alignment horizontal="left" wrapText="1"/>
    </xf>
    <xf numFmtId="176" fontId="18" fillId="0" borderId="0">
      <alignment horizontal="left" wrapText="1"/>
    </xf>
    <xf numFmtId="194" fontId="18" fillId="0" borderId="0">
      <alignment horizontal="left" wrapText="1"/>
    </xf>
    <xf numFmtId="194" fontId="18" fillId="0" borderId="0">
      <alignment horizontal="left" wrapText="1"/>
    </xf>
    <xf numFmtId="194" fontId="18" fillId="0" borderId="0">
      <alignment horizontal="left" wrapText="1"/>
    </xf>
    <xf numFmtId="176" fontId="18" fillId="0" borderId="0">
      <alignment horizontal="left" wrapText="1"/>
    </xf>
    <xf numFmtId="176" fontId="18" fillId="0" borderId="0"/>
    <xf numFmtId="176" fontId="18" fillId="0" borderId="0">
      <alignment horizontal="left" wrapText="1"/>
    </xf>
    <xf numFmtId="176" fontId="18" fillId="0" borderId="0">
      <alignment horizontal="left" wrapText="1"/>
    </xf>
    <xf numFmtId="194" fontId="18" fillId="0" borderId="0">
      <alignment horizontal="left" wrapText="1"/>
    </xf>
    <xf numFmtId="194" fontId="18" fillId="0" borderId="0">
      <alignment horizontal="left" wrapText="1"/>
    </xf>
    <xf numFmtId="194" fontId="18" fillId="0" borderId="0">
      <alignment horizontal="left" wrapText="1"/>
    </xf>
    <xf numFmtId="176" fontId="18" fillId="0" borderId="0">
      <alignment horizontal="left" wrapText="1"/>
    </xf>
    <xf numFmtId="176" fontId="18" fillId="0" borderId="0">
      <alignment horizontal="left" wrapText="1"/>
    </xf>
    <xf numFmtId="176" fontId="18" fillId="0" borderId="0">
      <alignment horizontal="left" wrapText="1"/>
    </xf>
    <xf numFmtId="194" fontId="18" fillId="0" borderId="0">
      <alignment horizontal="left" wrapText="1"/>
    </xf>
    <xf numFmtId="194" fontId="18" fillId="0" borderId="0">
      <alignment horizontal="left" wrapText="1"/>
    </xf>
    <xf numFmtId="194" fontId="18" fillId="0" borderId="0">
      <alignment horizontal="left" wrapText="1"/>
    </xf>
    <xf numFmtId="176" fontId="18" fillId="0" borderId="0">
      <alignment horizontal="left" wrapText="1"/>
    </xf>
    <xf numFmtId="194" fontId="18" fillId="0" borderId="0">
      <alignment horizontal="left" wrapText="1"/>
    </xf>
    <xf numFmtId="194" fontId="18" fillId="0" borderId="0">
      <alignment horizontal="left" wrapText="1"/>
    </xf>
    <xf numFmtId="194" fontId="18" fillId="0" borderId="0">
      <alignment horizontal="left" wrapText="1"/>
    </xf>
    <xf numFmtId="176" fontId="18" fillId="0" borderId="0">
      <alignment horizontal="left" wrapText="1"/>
    </xf>
    <xf numFmtId="176" fontId="18" fillId="0" borderId="0">
      <alignment horizontal="left" wrapText="1"/>
    </xf>
    <xf numFmtId="194" fontId="18" fillId="0" borderId="0">
      <alignment horizontal="left" wrapText="1"/>
    </xf>
    <xf numFmtId="194" fontId="18" fillId="0" borderId="0">
      <alignment horizontal="left" wrapText="1"/>
    </xf>
    <xf numFmtId="194" fontId="18" fillId="0" borderId="0">
      <alignment horizontal="left" wrapText="1"/>
    </xf>
    <xf numFmtId="176" fontId="18" fillId="0" borderId="0">
      <alignment horizontal="left" wrapText="1"/>
    </xf>
    <xf numFmtId="176" fontId="18" fillId="0" borderId="0">
      <alignment horizontal="left" wrapText="1"/>
    </xf>
    <xf numFmtId="176" fontId="18" fillId="0" borderId="0">
      <alignment horizontal="left" wrapText="1"/>
    </xf>
    <xf numFmtId="194" fontId="18" fillId="0" borderId="0">
      <alignment horizontal="left" wrapText="1"/>
    </xf>
    <xf numFmtId="194" fontId="18" fillId="0" borderId="0">
      <alignment horizontal="left" wrapText="1"/>
    </xf>
    <xf numFmtId="194" fontId="18" fillId="0" borderId="0">
      <alignment horizontal="left" wrapText="1"/>
    </xf>
    <xf numFmtId="176" fontId="18" fillId="0" borderId="0">
      <alignment horizontal="left" wrapText="1"/>
    </xf>
    <xf numFmtId="194" fontId="18" fillId="0" borderId="0">
      <alignment horizontal="left" wrapText="1"/>
    </xf>
    <xf numFmtId="194" fontId="18" fillId="0" borderId="0">
      <alignment horizontal="left" wrapText="1"/>
    </xf>
    <xf numFmtId="194" fontId="18" fillId="0" borderId="0">
      <alignment horizontal="left" wrapText="1"/>
    </xf>
    <xf numFmtId="176" fontId="18" fillId="0" borderId="0">
      <alignment horizontal="left" wrapText="1"/>
    </xf>
    <xf numFmtId="176" fontId="18" fillId="0" borderId="0">
      <alignment horizontal="left" wrapText="1"/>
    </xf>
    <xf numFmtId="181" fontId="18" fillId="0" borderId="0">
      <alignment horizontal="left" wrapText="1"/>
    </xf>
    <xf numFmtId="181" fontId="18" fillId="0" borderId="0">
      <alignment horizontal="left" wrapText="1"/>
    </xf>
    <xf numFmtId="181" fontId="18" fillId="0" borderId="0">
      <alignment horizontal="left" wrapText="1"/>
    </xf>
    <xf numFmtId="176" fontId="18" fillId="0" borderId="0">
      <alignment horizontal="left" wrapText="1"/>
    </xf>
    <xf numFmtId="176" fontId="18" fillId="0" borderId="0">
      <alignment horizontal="left" wrapText="1"/>
    </xf>
    <xf numFmtId="176" fontId="18" fillId="0" borderId="0">
      <alignment horizontal="left" wrapText="1"/>
    </xf>
    <xf numFmtId="181" fontId="18" fillId="0" borderId="0">
      <alignment horizontal="left" wrapText="1"/>
    </xf>
    <xf numFmtId="181" fontId="18" fillId="0" borderId="0">
      <alignment horizontal="left" wrapText="1"/>
    </xf>
    <xf numFmtId="181" fontId="18" fillId="0" borderId="0">
      <alignment horizontal="left" wrapText="1"/>
    </xf>
    <xf numFmtId="176" fontId="18" fillId="0" borderId="0">
      <alignment horizontal="left" wrapText="1"/>
    </xf>
    <xf numFmtId="181" fontId="18" fillId="0" borderId="0">
      <alignment horizontal="left" wrapText="1"/>
    </xf>
    <xf numFmtId="181" fontId="18" fillId="0" borderId="0">
      <alignment horizontal="left" wrapText="1"/>
    </xf>
    <xf numFmtId="181" fontId="18" fillId="0" borderId="0">
      <alignment horizontal="left" wrapText="1"/>
    </xf>
    <xf numFmtId="176" fontId="18" fillId="0" borderId="0">
      <alignment horizontal="left" wrapText="1"/>
    </xf>
    <xf numFmtId="176" fontId="18" fillId="0" borderId="0">
      <alignment horizontal="left" wrapText="1"/>
    </xf>
    <xf numFmtId="194" fontId="18" fillId="0" borderId="0">
      <alignment horizontal="left" wrapText="1"/>
    </xf>
    <xf numFmtId="194" fontId="18" fillId="0" borderId="0">
      <alignment horizontal="left" wrapText="1"/>
    </xf>
    <xf numFmtId="194" fontId="18" fillId="0" borderId="0">
      <alignment horizontal="left" wrapText="1"/>
    </xf>
    <xf numFmtId="176" fontId="18" fillId="0" borderId="0">
      <alignment horizontal="left" wrapText="1"/>
    </xf>
    <xf numFmtId="176" fontId="18" fillId="0" borderId="0">
      <alignment horizontal="left" wrapText="1"/>
    </xf>
    <xf numFmtId="176" fontId="18" fillId="0" borderId="0">
      <alignment horizontal="left" wrapText="1"/>
    </xf>
    <xf numFmtId="194" fontId="18" fillId="0" borderId="0">
      <alignment horizontal="left" wrapText="1"/>
    </xf>
    <xf numFmtId="194" fontId="18" fillId="0" borderId="0">
      <alignment horizontal="left" wrapText="1"/>
    </xf>
    <xf numFmtId="194" fontId="18" fillId="0" borderId="0">
      <alignment horizontal="left" wrapText="1"/>
    </xf>
    <xf numFmtId="176" fontId="18" fillId="0" borderId="0">
      <alignment horizontal="left" wrapText="1"/>
    </xf>
    <xf numFmtId="194" fontId="18" fillId="0" borderId="0">
      <alignment horizontal="left" wrapText="1"/>
    </xf>
    <xf numFmtId="194" fontId="18" fillId="0" borderId="0">
      <alignment horizontal="left" wrapText="1"/>
    </xf>
    <xf numFmtId="194" fontId="18" fillId="0" borderId="0">
      <alignment horizontal="left" wrapText="1"/>
    </xf>
    <xf numFmtId="194" fontId="18" fillId="0" borderId="0">
      <alignment horizontal="left" wrapText="1"/>
    </xf>
    <xf numFmtId="176" fontId="18" fillId="0" borderId="0">
      <alignment horizontal="left" wrapText="1"/>
    </xf>
    <xf numFmtId="176" fontId="18" fillId="0" borderId="0">
      <alignment horizontal="left" wrapText="1"/>
    </xf>
    <xf numFmtId="194" fontId="18" fillId="0" borderId="0">
      <alignment horizontal="left" wrapText="1"/>
    </xf>
    <xf numFmtId="194" fontId="18" fillId="0" borderId="0">
      <alignment horizontal="left" wrapText="1"/>
    </xf>
    <xf numFmtId="194" fontId="18" fillId="0" borderId="0">
      <alignment horizontal="left" wrapText="1"/>
    </xf>
    <xf numFmtId="176" fontId="18" fillId="0" borderId="0">
      <alignment horizontal="left" wrapText="1"/>
    </xf>
    <xf numFmtId="176" fontId="18" fillId="0" borderId="0">
      <alignment horizontal="left" wrapText="1"/>
    </xf>
    <xf numFmtId="176" fontId="18" fillId="0" borderId="0">
      <alignment horizontal="left" wrapText="1"/>
    </xf>
    <xf numFmtId="194" fontId="18" fillId="0" borderId="0">
      <alignment horizontal="left" wrapText="1"/>
    </xf>
    <xf numFmtId="194" fontId="18" fillId="0" borderId="0">
      <alignment horizontal="left" wrapText="1"/>
    </xf>
    <xf numFmtId="194" fontId="18" fillId="0" borderId="0">
      <alignment horizontal="left" wrapText="1"/>
    </xf>
    <xf numFmtId="176" fontId="18" fillId="0" borderId="0">
      <alignment horizontal="left" wrapText="1"/>
    </xf>
    <xf numFmtId="194" fontId="18" fillId="0" borderId="0">
      <alignment horizontal="left" wrapText="1"/>
    </xf>
    <xf numFmtId="194" fontId="18" fillId="0" borderId="0">
      <alignment horizontal="left" wrapText="1"/>
    </xf>
    <xf numFmtId="194" fontId="18" fillId="0" borderId="0">
      <alignment horizontal="left" wrapText="1"/>
    </xf>
    <xf numFmtId="176" fontId="18" fillId="0" borderId="0">
      <alignment horizontal="left" wrapText="1"/>
    </xf>
    <xf numFmtId="176" fontId="18" fillId="0" borderId="0">
      <alignment horizontal="left" wrapText="1"/>
    </xf>
    <xf numFmtId="194" fontId="18" fillId="0" borderId="0">
      <alignment horizontal="left" wrapText="1"/>
    </xf>
    <xf numFmtId="194" fontId="18" fillId="0" borderId="0">
      <alignment horizontal="left" wrapText="1"/>
    </xf>
    <xf numFmtId="194" fontId="18" fillId="0" borderId="0">
      <alignment horizontal="left" wrapText="1"/>
    </xf>
    <xf numFmtId="176" fontId="18" fillId="0" borderId="0">
      <alignment horizontal="left" wrapText="1"/>
    </xf>
    <xf numFmtId="176" fontId="18" fillId="0" borderId="0">
      <alignment horizontal="left" wrapText="1"/>
    </xf>
    <xf numFmtId="176" fontId="18" fillId="0" borderId="0">
      <alignment horizontal="left" wrapText="1"/>
    </xf>
    <xf numFmtId="194" fontId="18" fillId="0" borderId="0">
      <alignment horizontal="left" wrapText="1"/>
    </xf>
    <xf numFmtId="194" fontId="18" fillId="0" borderId="0">
      <alignment horizontal="left" wrapText="1"/>
    </xf>
    <xf numFmtId="194" fontId="18" fillId="0" borderId="0">
      <alignment horizontal="left" wrapText="1"/>
    </xf>
    <xf numFmtId="176" fontId="18" fillId="0" borderId="0">
      <alignment horizontal="left" wrapText="1"/>
    </xf>
    <xf numFmtId="194" fontId="18" fillId="0" borderId="0">
      <alignment horizontal="left" wrapText="1"/>
    </xf>
    <xf numFmtId="194" fontId="18" fillId="0" borderId="0">
      <alignment horizontal="left" wrapText="1"/>
    </xf>
    <xf numFmtId="194" fontId="18" fillId="0" borderId="0">
      <alignment horizontal="left" wrapText="1"/>
    </xf>
    <xf numFmtId="176" fontId="48" fillId="0" borderId="0">
      <alignment horizontal="left" wrapText="1"/>
    </xf>
    <xf numFmtId="189" fontId="48" fillId="0" borderId="0">
      <alignment horizontal="left" wrapText="1"/>
    </xf>
    <xf numFmtId="189" fontId="48" fillId="0" borderId="0">
      <alignment horizontal="left" wrapText="1"/>
    </xf>
    <xf numFmtId="189" fontId="48" fillId="0" borderId="0">
      <alignment horizontal="left" wrapText="1"/>
    </xf>
    <xf numFmtId="176" fontId="18" fillId="0" borderId="0">
      <alignment horizontal="left" wrapText="1"/>
    </xf>
    <xf numFmtId="176" fontId="18" fillId="0" borderId="0">
      <alignment horizontal="left" wrapText="1"/>
    </xf>
    <xf numFmtId="194" fontId="18" fillId="0" borderId="0">
      <alignment horizontal="left" wrapText="1"/>
    </xf>
    <xf numFmtId="194" fontId="18" fillId="0" borderId="0">
      <alignment horizontal="left" wrapText="1"/>
    </xf>
    <xf numFmtId="194" fontId="18" fillId="0" borderId="0">
      <alignment horizontal="left" wrapText="1"/>
    </xf>
    <xf numFmtId="176" fontId="18" fillId="0" borderId="0">
      <alignment horizontal="left" wrapText="1"/>
    </xf>
    <xf numFmtId="176" fontId="18" fillId="0" borderId="0">
      <alignment horizontal="left" wrapText="1"/>
    </xf>
    <xf numFmtId="176" fontId="18" fillId="0" borderId="0">
      <alignment horizontal="left" wrapText="1"/>
    </xf>
    <xf numFmtId="194" fontId="18" fillId="0" borderId="0">
      <alignment horizontal="left" wrapText="1"/>
    </xf>
    <xf numFmtId="194" fontId="18" fillId="0" borderId="0">
      <alignment horizontal="left" wrapText="1"/>
    </xf>
    <xf numFmtId="194" fontId="18" fillId="0" borderId="0">
      <alignment horizontal="left" wrapText="1"/>
    </xf>
    <xf numFmtId="176" fontId="18" fillId="0" borderId="0">
      <alignment horizontal="left" wrapText="1"/>
    </xf>
    <xf numFmtId="194" fontId="18" fillId="0" borderId="0">
      <alignment horizontal="left" wrapText="1"/>
    </xf>
    <xf numFmtId="194" fontId="18" fillId="0" borderId="0">
      <alignment horizontal="left" wrapText="1"/>
    </xf>
    <xf numFmtId="194" fontId="18" fillId="0" borderId="0">
      <alignment horizontal="left" wrapText="1"/>
    </xf>
    <xf numFmtId="176" fontId="18" fillId="0" borderId="0">
      <alignment horizontal="left" wrapText="1"/>
    </xf>
    <xf numFmtId="194" fontId="18" fillId="0" borderId="0">
      <alignment horizontal="left" wrapText="1"/>
    </xf>
    <xf numFmtId="194" fontId="18" fillId="0" borderId="0">
      <alignment horizontal="left" wrapText="1"/>
    </xf>
    <xf numFmtId="194" fontId="18" fillId="0" borderId="0">
      <alignment horizontal="left" wrapText="1"/>
    </xf>
    <xf numFmtId="176" fontId="18" fillId="0" borderId="0">
      <alignment horizontal="left" wrapText="1"/>
    </xf>
    <xf numFmtId="176" fontId="18" fillId="0" borderId="0">
      <alignment horizontal="left" wrapText="1"/>
    </xf>
    <xf numFmtId="194" fontId="18" fillId="0" borderId="0">
      <alignment horizontal="left" wrapText="1"/>
    </xf>
    <xf numFmtId="194" fontId="18" fillId="0" borderId="0">
      <alignment horizontal="left" wrapText="1"/>
    </xf>
    <xf numFmtId="194" fontId="18" fillId="0" borderId="0">
      <alignment horizontal="left" wrapText="1"/>
    </xf>
    <xf numFmtId="176" fontId="18" fillId="0" borderId="0">
      <alignment horizontal="left" wrapText="1"/>
    </xf>
    <xf numFmtId="176" fontId="18" fillId="0" borderId="0">
      <alignment horizontal="left" wrapText="1"/>
    </xf>
    <xf numFmtId="176" fontId="18" fillId="0" borderId="0">
      <alignment horizontal="left" wrapText="1"/>
    </xf>
    <xf numFmtId="194" fontId="18" fillId="0" borderId="0">
      <alignment horizontal="left" wrapText="1"/>
    </xf>
    <xf numFmtId="194" fontId="18" fillId="0" borderId="0">
      <alignment horizontal="left" wrapText="1"/>
    </xf>
    <xf numFmtId="194" fontId="18" fillId="0" borderId="0">
      <alignment horizontal="left" wrapText="1"/>
    </xf>
    <xf numFmtId="176" fontId="18" fillId="0" borderId="0">
      <alignment horizontal="left" wrapText="1"/>
    </xf>
    <xf numFmtId="194" fontId="18" fillId="0" borderId="0">
      <alignment horizontal="left" wrapText="1"/>
    </xf>
    <xf numFmtId="194" fontId="18" fillId="0" borderId="0">
      <alignment horizontal="left" wrapText="1"/>
    </xf>
    <xf numFmtId="194" fontId="18" fillId="0" borderId="0">
      <alignment horizontal="left" wrapText="1"/>
    </xf>
    <xf numFmtId="194" fontId="18" fillId="0" borderId="0">
      <alignment horizontal="left" wrapText="1"/>
    </xf>
    <xf numFmtId="176" fontId="48" fillId="0" borderId="0">
      <alignment horizontal="left" wrapText="1"/>
    </xf>
    <xf numFmtId="176" fontId="18" fillId="0" borderId="0">
      <alignment horizontal="left" wrapText="1"/>
    </xf>
    <xf numFmtId="194" fontId="18" fillId="0" borderId="0">
      <alignment horizontal="left" wrapText="1"/>
    </xf>
    <xf numFmtId="194" fontId="18" fillId="0" borderId="0">
      <alignment horizontal="left" wrapText="1"/>
    </xf>
    <xf numFmtId="194" fontId="18" fillId="0" borderId="0">
      <alignment horizontal="left" wrapText="1"/>
    </xf>
    <xf numFmtId="176" fontId="18" fillId="0" borderId="0">
      <alignment horizontal="left" wrapText="1"/>
    </xf>
    <xf numFmtId="176" fontId="18" fillId="0" borderId="0">
      <alignment horizontal="left" wrapText="1"/>
    </xf>
    <xf numFmtId="194" fontId="18" fillId="0" borderId="0">
      <alignment horizontal="left" wrapText="1"/>
    </xf>
    <xf numFmtId="194" fontId="18" fillId="0" borderId="0">
      <alignment horizontal="left" wrapText="1"/>
    </xf>
    <xf numFmtId="194" fontId="18" fillId="0" borderId="0">
      <alignment horizontal="left" wrapText="1"/>
    </xf>
    <xf numFmtId="176" fontId="18" fillId="0" borderId="0">
      <alignment horizontal="left" wrapText="1"/>
    </xf>
    <xf numFmtId="176" fontId="18" fillId="0" borderId="0">
      <alignment horizontal="left" wrapText="1"/>
    </xf>
    <xf numFmtId="176" fontId="18" fillId="0" borderId="0">
      <alignment horizontal="left" wrapText="1"/>
    </xf>
    <xf numFmtId="194" fontId="18" fillId="0" borderId="0">
      <alignment horizontal="left" wrapText="1"/>
    </xf>
    <xf numFmtId="194" fontId="18" fillId="0" borderId="0">
      <alignment horizontal="left" wrapText="1"/>
    </xf>
    <xf numFmtId="194" fontId="18" fillId="0" borderId="0">
      <alignment horizontal="left" wrapText="1"/>
    </xf>
    <xf numFmtId="176" fontId="18" fillId="0" borderId="0">
      <alignment horizontal="left" wrapText="1"/>
    </xf>
    <xf numFmtId="194" fontId="18" fillId="0" borderId="0">
      <alignment horizontal="left" wrapText="1"/>
    </xf>
    <xf numFmtId="194" fontId="18" fillId="0" borderId="0">
      <alignment horizontal="left" wrapText="1"/>
    </xf>
    <xf numFmtId="194" fontId="18" fillId="0" borderId="0">
      <alignment horizontal="left" wrapText="1"/>
    </xf>
    <xf numFmtId="176" fontId="18" fillId="0" borderId="0">
      <alignment horizontal="left" wrapText="1"/>
    </xf>
    <xf numFmtId="176" fontId="18" fillId="0" borderId="0">
      <alignment horizontal="left" wrapText="1"/>
    </xf>
    <xf numFmtId="194" fontId="18" fillId="0" borderId="0">
      <alignment horizontal="left" wrapText="1"/>
    </xf>
    <xf numFmtId="194" fontId="18" fillId="0" borderId="0">
      <alignment horizontal="left" wrapText="1"/>
    </xf>
    <xf numFmtId="194" fontId="18" fillId="0" borderId="0">
      <alignment horizontal="left" wrapText="1"/>
    </xf>
    <xf numFmtId="176" fontId="18" fillId="0" borderId="0">
      <alignment horizontal="left" wrapText="1"/>
    </xf>
    <xf numFmtId="176" fontId="18" fillId="0" borderId="0">
      <alignment horizontal="left" wrapText="1"/>
    </xf>
    <xf numFmtId="176" fontId="18" fillId="0" borderId="0">
      <alignment horizontal="left" wrapText="1"/>
    </xf>
    <xf numFmtId="194" fontId="18" fillId="0" borderId="0">
      <alignment horizontal="left" wrapText="1"/>
    </xf>
    <xf numFmtId="194" fontId="18" fillId="0" borderId="0">
      <alignment horizontal="left" wrapText="1"/>
    </xf>
    <xf numFmtId="194" fontId="18" fillId="0" borderId="0">
      <alignment horizontal="left" wrapText="1"/>
    </xf>
    <xf numFmtId="176" fontId="18" fillId="0" borderId="0">
      <alignment horizontal="left" wrapText="1"/>
    </xf>
    <xf numFmtId="194" fontId="18" fillId="0" borderId="0">
      <alignment horizontal="left" wrapText="1"/>
    </xf>
    <xf numFmtId="194" fontId="18" fillId="0" borderId="0">
      <alignment horizontal="left" wrapText="1"/>
    </xf>
    <xf numFmtId="194" fontId="18" fillId="0" borderId="0">
      <alignment horizontal="left" wrapText="1"/>
    </xf>
    <xf numFmtId="176" fontId="48" fillId="0" borderId="0">
      <alignment horizontal="left" wrapText="1"/>
    </xf>
    <xf numFmtId="176" fontId="48" fillId="0" borderId="0">
      <alignment horizontal="left" wrapText="1"/>
    </xf>
    <xf numFmtId="176" fontId="18" fillId="0" borderId="0">
      <alignment horizontal="left" wrapText="1"/>
    </xf>
    <xf numFmtId="194" fontId="18" fillId="0" borderId="0">
      <alignment horizontal="left" wrapText="1"/>
    </xf>
    <xf numFmtId="194" fontId="18" fillId="0" borderId="0">
      <alignment horizontal="left" wrapText="1"/>
    </xf>
    <xf numFmtId="194" fontId="18" fillId="0" borderId="0">
      <alignment horizontal="left" wrapText="1"/>
    </xf>
    <xf numFmtId="176" fontId="18" fillId="0" borderId="0">
      <alignment horizontal="left" wrapText="1"/>
    </xf>
    <xf numFmtId="176" fontId="18" fillId="0" borderId="0">
      <alignment horizontal="left" wrapText="1"/>
    </xf>
    <xf numFmtId="194" fontId="18" fillId="0" borderId="0">
      <alignment horizontal="left" wrapText="1"/>
    </xf>
    <xf numFmtId="194" fontId="18" fillId="0" borderId="0">
      <alignment horizontal="left" wrapText="1"/>
    </xf>
    <xf numFmtId="194" fontId="18" fillId="0" borderId="0">
      <alignment horizontal="left" wrapText="1"/>
    </xf>
    <xf numFmtId="176" fontId="18" fillId="0" borderId="0">
      <alignment horizontal="left" wrapText="1"/>
    </xf>
    <xf numFmtId="176" fontId="18" fillId="0" borderId="0">
      <alignment horizontal="left" wrapText="1"/>
    </xf>
    <xf numFmtId="176" fontId="18" fillId="0" borderId="0">
      <alignment horizontal="left" wrapText="1"/>
    </xf>
    <xf numFmtId="194" fontId="18" fillId="0" borderId="0">
      <alignment horizontal="left" wrapText="1"/>
    </xf>
    <xf numFmtId="194" fontId="18" fillId="0" borderId="0">
      <alignment horizontal="left" wrapText="1"/>
    </xf>
    <xf numFmtId="194" fontId="18" fillId="0" borderId="0">
      <alignment horizontal="left" wrapText="1"/>
    </xf>
    <xf numFmtId="176" fontId="18" fillId="0" borderId="0">
      <alignment horizontal="left" wrapText="1"/>
    </xf>
    <xf numFmtId="194" fontId="18" fillId="0" borderId="0">
      <alignment horizontal="left" wrapText="1"/>
    </xf>
    <xf numFmtId="194" fontId="18" fillId="0" borderId="0">
      <alignment horizontal="left" wrapText="1"/>
    </xf>
    <xf numFmtId="194" fontId="18" fillId="0" borderId="0">
      <alignment horizontal="left" wrapText="1"/>
    </xf>
    <xf numFmtId="194" fontId="18" fillId="0" borderId="0">
      <alignment horizontal="left" wrapText="1"/>
    </xf>
    <xf numFmtId="176" fontId="18" fillId="0" borderId="0">
      <alignment horizontal="left" wrapText="1"/>
    </xf>
    <xf numFmtId="176" fontId="18" fillId="0" borderId="0">
      <alignment horizontal="left" wrapText="1"/>
    </xf>
    <xf numFmtId="181" fontId="18" fillId="0" borderId="0">
      <alignment horizontal="left" wrapText="1"/>
    </xf>
    <xf numFmtId="181" fontId="18" fillId="0" borderId="0">
      <alignment horizontal="left" wrapText="1"/>
    </xf>
    <xf numFmtId="181" fontId="18" fillId="0" borderId="0">
      <alignment horizontal="left" wrapText="1"/>
    </xf>
    <xf numFmtId="176" fontId="18" fillId="0" borderId="0">
      <alignment horizontal="left" wrapText="1"/>
    </xf>
    <xf numFmtId="176" fontId="18" fillId="0" borderId="0">
      <alignment horizontal="left" wrapText="1"/>
    </xf>
    <xf numFmtId="176" fontId="18" fillId="0" borderId="0">
      <alignment horizontal="left" wrapText="1"/>
    </xf>
    <xf numFmtId="181" fontId="18" fillId="0" borderId="0">
      <alignment horizontal="left" wrapText="1"/>
    </xf>
    <xf numFmtId="181" fontId="18" fillId="0" borderId="0">
      <alignment horizontal="left" wrapText="1"/>
    </xf>
    <xf numFmtId="181" fontId="18" fillId="0" borderId="0">
      <alignment horizontal="left" wrapText="1"/>
    </xf>
    <xf numFmtId="176" fontId="18" fillId="0" borderId="0">
      <alignment horizontal="left" wrapText="1"/>
    </xf>
    <xf numFmtId="181" fontId="18" fillId="0" borderId="0">
      <alignment horizontal="left" wrapText="1"/>
    </xf>
    <xf numFmtId="181" fontId="18" fillId="0" borderId="0">
      <alignment horizontal="left" wrapText="1"/>
    </xf>
    <xf numFmtId="181" fontId="18" fillId="0" borderId="0">
      <alignment horizontal="left" wrapText="1"/>
    </xf>
    <xf numFmtId="176" fontId="48" fillId="0" borderId="0">
      <alignment horizontal="left" wrapText="1"/>
    </xf>
    <xf numFmtId="176" fontId="18" fillId="0" borderId="0">
      <alignment horizontal="left" wrapText="1"/>
    </xf>
    <xf numFmtId="176" fontId="18" fillId="0" borderId="0">
      <alignment horizontal="left" wrapText="1"/>
    </xf>
    <xf numFmtId="194" fontId="18" fillId="0" borderId="0">
      <alignment horizontal="left" wrapText="1"/>
    </xf>
    <xf numFmtId="194" fontId="18" fillId="0" borderId="0">
      <alignment horizontal="left" wrapText="1"/>
    </xf>
    <xf numFmtId="194" fontId="18" fillId="0" borderId="0">
      <alignment horizontal="left" wrapText="1"/>
    </xf>
    <xf numFmtId="176" fontId="18" fillId="0" borderId="0">
      <alignment horizontal="left" wrapText="1"/>
    </xf>
    <xf numFmtId="176" fontId="18" fillId="0" borderId="0">
      <alignment horizontal="left" wrapText="1"/>
    </xf>
    <xf numFmtId="176" fontId="18" fillId="0" borderId="0">
      <alignment horizontal="left" wrapText="1"/>
    </xf>
    <xf numFmtId="194" fontId="18" fillId="0" borderId="0">
      <alignment horizontal="left" wrapText="1"/>
    </xf>
    <xf numFmtId="194" fontId="18" fillId="0" borderId="0">
      <alignment horizontal="left" wrapText="1"/>
    </xf>
    <xf numFmtId="194" fontId="18" fillId="0" borderId="0">
      <alignment horizontal="left" wrapText="1"/>
    </xf>
    <xf numFmtId="176" fontId="18" fillId="0" borderId="0">
      <alignment horizontal="left" wrapText="1"/>
    </xf>
    <xf numFmtId="194" fontId="18" fillId="0" borderId="0">
      <alignment horizontal="left" wrapText="1"/>
    </xf>
    <xf numFmtId="194" fontId="18" fillId="0" borderId="0">
      <alignment horizontal="left" wrapText="1"/>
    </xf>
    <xf numFmtId="194" fontId="18" fillId="0" borderId="0">
      <alignment horizontal="left" wrapText="1"/>
    </xf>
    <xf numFmtId="194" fontId="18" fillId="0" borderId="0">
      <alignment horizontal="left" wrapText="1"/>
    </xf>
    <xf numFmtId="176" fontId="48" fillId="0" borderId="0">
      <alignment horizontal="left" wrapText="1"/>
    </xf>
    <xf numFmtId="176" fontId="48" fillId="0" borderId="0">
      <alignment horizontal="left" wrapText="1"/>
    </xf>
    <xf numFmtId="189" fontId="48" fillId="0" borderId="0">
      <alignment horizontal="left" wrapText="1"/>
    </xf>
    <xf numFmtId="189" fontId="48" fillId="0" borderId="0">
      <alignment horizontal="left" wrapText="1"/>
    </xf>
    <xf numFmtId="189" fontId="48" fillId="0" borderId="0">
      <alignment horizontal="left" wrapText="1"/>
    </xf>
    <xf numFmtId="176" fontId="48" fillId="0" borderId="0">
      <alignment horizontal="left" wrapText="1"/>
    </xf>
    <xf numFmtId="189" fontId="48" fillId="0" borderId="0">
      <alignment horizontal="left" wrapText="1"/>
    </xf>
    <xf numFmtId="189" fontId="48" fillId="0" borderId="0">
      <alignment horizontal="left" wrapText="1"/>
    </xf>
    <xf numFmtId="189" fontId="48" fillId="0" borderId="0">
      <alignment horizontal="left" wrapText="1"/>
    </xf>
    <xf numFmtId="176" fontId="18" fillId="0" borderId="0">
      <alignment horizontal="left" wrapText="1"/>
    </xf>
    <xf numFmtId="176" fontId="18" fillId="0" borderId="0">
      <alignment horizontal="left" wrapText="1"/>
    </xf>
    <xf numFmtId="181" fontId="18" fillId="0" borderId="0">
      <alignment horizontal="left" wrapText="1"/>
    </xf>
    <xf numFmtId="181" fontId="18" fillId="0" borderId="0">
      <alignment horizontal="left" wrapText="1"/>
    </xf>
    <xf numFmtId="181" fontId="18" fillId="0" borderId="0">
      <alignment horizontal="left" wrapText="1"/>
    </xf>
    <xf numFmtId="176" fontId="18" fillId="0" borderId="0">
      <alignment horizontal="left" wrapText="1"/>
    </xf>
    <xf numFmtId="176" fontId="18" fillId="0" borderId="0">
      <alignment horizontal="left" wrapText="1"/>
    </xf>
    <xf numFmtId="176" fontId="18" fillId="0" borderId="0">
      <alignment horizontal="left" wrapText="1"/>
    </xf>
    <xf numFmtId="181" fontId="18" fillId="0" borderId="0">
      <alignment horizontal="left" wrapText="1"/>
    </xf>
    <xf numFmtId="181" fontId="18" fillId="0" borderId="0">
      <alignment horizontal="left" wrapText="1"/>
    </xf>
    <xf numFmtId="181" fontId="18" fillId="0" borderId="0">
      <alignment horizontal="left" wrapText="1"/>
    </xf>
    <xf numFmtId="176" fontId="18" fillId="0" borderId="0">
      <alignment horizontal="left" wrapText="1"/>
    </xf>
    <xf numFmtId="181" fontId="18" fillId="0" borderId="0">
      <alignment horizontal="left" wrapText="1"/>
    </xf>
    <xf numFmtId="181" fontId="18" fillId="0" borderId="0">
      <alignment horizontal="left" wrapText="1"/>
    </xf>
    <xf numFmtId="181" fontId="18" fillId="0" borderId="0">
      <alignment horizontal="left" wrapText="1"/>
    </xf>
    <xf numFmtId="176" fontId="18" fillId="0" borderId="0">
      <alignment horizontal="left" wrapText="1"/>
    </xf>
    <xf numFmtId="176" fontId="18" fillId="0" borderId="0">
      <alignment horizontal="left" wrapText="1"/>
    </xf>
    <xf numFmtId="181" fontId="18" fillId="0" borderId="0">
      <alignment horizontal="left" wrapText="1"/>
    </xf>
    <xf numFmtId="181" fontId="18" fillId="0" borderId="0">
      <alignment horizontal="left" wrapText="1"/>
    </xf>
    <xf numFmtId="181" fontId="18" fillId="0" borderId="0">
      <alignment horizontal="left" wrapText="1"/>
    </xf>
    <xf numFmtId="176" fontId="18" fillId="0" borderId="0">
      <alignment horizontal="left" wrapText="1"/>
    </xf>
    <xf numFmtId="176" fontId="18" fillId="0" borderId="0">
      <alignment horizontal="left" wrapText="1"/>
    </xf>
    <xf numFmtId="176" fontId="18" fillId="0" borderId="0">
      <alignment horizontal="left" wrapText="1"/>
    </xf>
    <xf numFmtId="181" fontId="18" fillId="0" borderId="0">
      <alignment horizontal="left" wrapText="1"/>
    </xf>
    <xf numFmtId="181" fontId="18" fillId="0" borderId="0">
      <alignment horizontal="left" wrapText="1"/>
    </xf>
    <xf numFmtId="181" fontId="18" fillId="0" borderId="0">
      <alignment horizontal="left" wrapText="1"/>
    </xf>
    <xf numFmtId="176" fontId="18" fillId="0" borderId="0">
      <alignment horizontal="left" wrapText="1"/>
    </xf>
    <xf numFmtId="181" fontId="18" fillId="0" borderId="0">
      <alignment horizontal="left" wrapText="1"/>
    </xf>
    <xf numFmtId="181" fontId="18" fillId="0" borderId="0">
      <alignment horizontal="left" wrapText="1"/>
    </xf>
    <xf numFmtId="181" fontId="18" fillId="0" borderId="0">
      <alignment horizontal="left" wrapText="1"/>
    </xf>
    <xf numFmtId="176" fontId="48" fillId="0" borderId="0">
      <alignment horizontal="left" wrapText="1"/>
    </xf>
    <xf numFmtId="189" fontId="48" fillId="0" borderId="0">
      <alignment horizontal="left" wrapText="1"/>
    </xf>
    <xf numFmtId="189" fontId="48" fillId="0" borderId="0">
      <alignment horizontal="left" wrapText="1"/>
    </xf>
    <xf numFmtId="189" fontId="48" fillId="0" borderId="0">
      <alignment horizontal="left" wrapText="1"/>
    </xf>
    <xf numFmtId="176" fontId="35" fillId="0" borderId="0">
      <alignment vertical="center"/>
    </xf>
    <xf numFmtId="176" fontId="18" fillId="0" borderId="0">
      <alignment horizontal="left" wrapText="1"/>
    </xf>
    <xf numFmtId="176" fontId="18" fillId="0" borderId="0">
      <alignment horizontal="left" wrapText="1"/>
    </xf>
    <xf numFmtId="194" fontId="18" fillId="0" borderId="0">
      <alignment horizontal="left" wrapText="1"/>
    </xf>
    <xf numFmtId="194" fontId="18" fillId="0" borderId="0">
      <alignment horizontal="left" wrapText="1"/>
    </xf>
    <xf numFmtId="194" fontId="18" fillId="0" borderId="0">
      <alignment horizontal="left" wrapText="1"/>
    </xf>
    <xf numFmtId="176" fontId="18" fillId="0" borderId="0">
      <alignment horizontal="left" wrapText="1"/>
    </xf>
    <xf numFmtId="176" fontId="18" fillId="0" borderId="0">
      <alignment horizontal="left" wrapText="1"/>
    </xf>
    <xf numFmtId="176" fontId="18" fillId="0" borderId="0">
      <alignment horizontal="left" wrapText="1"/>
    </xf>
    <xf numFmtId="194" fontId="18" fillId="0" borderId="0">
      <alignment horizontal="left" wrapText="1"/>
    </xf>
    <xf numFmtId="194" fontId="18" fillId="0" borderId="0">
      <alignment horizontal="left" wrapText="1"/>
    </xf>
    <xf numFmtId="194" fontId="18" fillId="0" borderId="0">
      <alignment horizontal="left" wrapText="1"/>
    </xf>
    <xf numFmtId="176" fontId="18" fillId="0" borderId="0">
      <alignment horizontal="left" wrapText="1"/>
    </xf>
    <xf numFmtId="194" fontId="18" fillId="0" borderId="0">
      <alignment horizontal="left" wrapText="1"/>
    </xf>
    <xf numFmtId="194" fontId="18" fillId="0" borderId="0">
      <alignment horizontal="left" wrapText="1"/>
    </xf>
    <xf numFmtId="194" fontId="18" fillId="0" borderId="0">
      <alignment horizontal="left" wrapText="1"/>
    </xf>
    <xf numFmtId="176" fontId="48" fillId="0" borderId="0">
      <alignment horizontal="left" wrapText="1"/>
    </xf>
    <xf numFmtId="189" fontId="48" fillId="0" borderId="0">
      <alignment horizontal="left" wrapText="1"/>
    </xf>
    <xf numFmtId="189" fontId="48" fillId="0" borderId="0">
      <alignment horizontal="left" wrapText="1"/>
    </xf>
    <xf numFmtId="189" fontId="48" fillId="0" borderId="0">
      <alignment horizontal="left" wrapText="1"/>
    </xf>
    <xf numFmtId="176" fontId="18" fillId="0" borderId="0" applyNumberFormat="0" applyFill="0" applyBorder="0" applyAlignment="0" applyProtection="0"/>
    <xf numFmtId="176" fontId="18" fillId="0" borderId="0">
      <alignment horizontal="left" wrapText="1"/>
    </xf>
    <xf numFmtId="176" fontId="18" fillId="0" borderId="0">
      <alignment horizontal="left" wrapText="1"/>
    </xf>
    <xf numFmtId="194" fontId="18" fillId="0" borderId="0">
      <alignment horizontal="left" wrapText="1"/>
    </xf>
    <xf numFmtId="194" fontId="18" fillId="0" borderId="0">
      <alignment horizontal="left" wrapText="1"/>
    </xf>
    <xf numFmtId="194" fontId="18" fillId="0" borderId="0">
      <alignment horizontal="left" wrapText="1"/>
    </xf>
    <xf numFmtId="176" fontId="18" fillId="0" borderId="0">
      <alignment horizontal="left" wrapText="1"/>
    </xf>
    <xf numFmtId="176" fontId="18" fillId="0" borderId="0">
      <alignment horizontal="left" wrapText="1"/>
    </xf>
    <xf numFmtId="176" fontId="18" fillId="0" borderId="0">
      <alignment horizontal="left" wrapText="1"/>
    </xf>
    <xf numFmtId="194" fontId="18" fillId="0" borderId="0">
      <alignment horizontal="left" wrapText="1"/>
    </xf>
    <xf numFmtId="194" fontId="18" fillId="0" borderId="0">
      <alignment horizontal="left" wrapText="1"/>
    </xf>
    <xf numFmtId="194" fontId="18" fillId="0" borderId="0">
      <alignment horizontal="left" wrapText="1"/>
    </xf>
    <xf numFmtId="176" fontId="18" fillId="0" borderId="0">
      <alignment horizontal="left" wrapText="1"/>
    </xf>
    <xf numFmtId="194" fontId="18" fillId="0" borderId="0">
      <alignment horizontal="left" wrapText="1"/>
    </xf>
    <xf numFmtId="194" fontId="18" fillId="0" borderId="0">
      <alignment horizontal="left" wrapText="1"/>
    </xf>
    <xf numFmtId="194" fontId="18" fillId="0" borderId="0">
      <alignment horizontal="left" wrapText="1"/>
    </xf>
    <xf numFmtId="176" fontId="18" fillId="0" borderId="0"/>
    <xf numFmtId="1" fontId="49" fillId="0" borderId="0"/>
    <xf numFmtId="194" fontId="50" fillId="0" borderId="0">
      <alignment horizontal="left"/>
    </xf>
    <xf numFmtId="235" fontId="50" fillId="0" borderId="0">
      <alignment horizontal="left"/>
    </xf>
    <xf numFmtId="3" fontId="51" fillId="3" borderId="0">
      <alignment horizontal="left"/>
    </xf>
    <xf numFmtId="3" fontId="52" fillId="2" borderId="0"/>
    <xf numFmtId="176" fontId="53" fillId="2" borderId="0"/>
    <xf numFmtId="176" fontId="54" fillId="2" borderId="0">
      <alignment horizontal="left"/>
    </xf>
    <xf numFmtId="176" fontId="35" fillId="0" borderId="0"/>
    <xf numFmtId="209" fontId="55" fillId="0" borderId="0" applyFont="0" applyFill="0" applyBorder="0" applyAlignment="0" applyProtection="0"/>
    <xf numFmtId="208" fontId="55" fillId="0" borderId="0" applyFont="0" applyFill="0" applyBorder="0" applyAlignment="0" applyProtection="0"/>
    <xf numFmtId="246" fontId="56" fillId="0" borderId="0" applyFont="0" applyFill="0" applyBorder="0" applyAlignment="0" applyProtection="0"/>
    <xf numFmtId="199" fontId="2" fillId="4" borderId="1">
      <alignment horizontal="center" vertical="center"/>
    </xf>
    <xf numFmtId="176" fontId="57" fillId="0" borderId="0"/>
    <xf numFmtId="176" fontId="58" fillId="0" borderId="0"/>
    <xf numFmtId="176" fontId="59" fillId="0" borderId="0">
      <alignment horizontal="center" wrapText="1"/>
      <protection locked="0"/>
    </xf>
    <xf numFmtId="178" fontId="60" fillId="5" borderId="0" applyNumberFormat="0" applyBorder="0" applyAlignment="0" applyProtection="0"/>
    <xf numFmtId="176" fontId="61" fillId="6" borderId="0"/>
    <xf numFmtId="187" fontId="59" fillId="0" borderId="0" applyFont="0" applyFill="0" applyBorder="0" applyAlignment="0" applyProtection="0"/>
    <xf numFmtId="176" fontId="40" fillId="0" borderId="0" applyNumberFormat="0" applyFill="0" applyBorder="0" applyAlignment="0" applyProtection="0"/>
    <xf numFmtId="176" fontId="62" fillId="0" borderId="0" applyNumberFormat="0" applyFill="0" applyBorder="0" applyAlignment="0" applyProtection="0"/>
    <xf numFmtId="176" fontId="36" fillId="7" borderId="0" applyNumberFormat="0" applyFill="0" applyBorder="0" applyAlignment="0" applyProtection="0">
      <protection locked="0"/>
    </xf>
    <xf numFmtId="262" fontId="3" fillId="0" borderId="0"/>
    <xf numFmtId="176" fontId="63" fillId="0" borderId="0" applyFont="0" applyFill="0" applyBorder="0" applyAlignment="0" applyProtection="0">
      <alignment horizontal="right"/>
    </xf>
    <xf numFmtId="14" fontId="60" fillId="0" borderId="0" applyNumberFormat="0" applyFill="0" applyBorder="0" applyAlignment="0" applyProtection="0">
      <alignment horizontal="center"/>
    </xf>
    <xf numFmtId="187" fontId="9" fillId="8" borderId="0" applyNumberFormat="0" applyFill="0" applyBorder="0" applyAlignment="0" applyProtection="0">
      <alignment horizontal="center"/>
    </xf>
    <xf numFmtId="14" fontId="60" fillId="0" borderId="0" applyNumberFormat="0" applyFill="0" applyBorder="0" applyAlignment="0" applyProtection="0">
      <alignment horizontal="center"/>
    </xf>
    <xf numFmtId="176" fontId="64" fillId="7" borderId="0"/>
    <xf numFmtId="176" fontId="65" fillId="0" borderId="2" applyNumberFormat="0" applyFill="0" applyAlignment="0" applyProtection="0"/>
    <xf numFmtId="186" fontId="64" fillId="0" borderId="0">
      <alignment vertical="top"/>
    </xf>
    <xf numFmtId="176" fontId="37" fillId="7" borderId="3" applyNumberFormat="0" applyFill="0" applyBorder="0" applyAlignment="0" applyProtection="0">
      <protection locked="0"/>
    </xf>
    <xf numFmtId="186" fontId="66" fillId="0" borderId="0">
      <alignment horizontal="right"/>
    </xf>
    <xf numFmtId="186" fontId="66" fillId="0" borderId="0">
      <alignment horizontal="left"/>
    </xf>
    <xf numFmtId="166" fontId="13" fillId="0" borderId="4" applyAlignment="0" applyProtection="0"/>
    <xf numFmtId="176" fontId="59" fillId="0" borderId="5" applyNumberFormat="0" applyFont="0" applyFill="0" applyAlignment="0" applyProtection="0"/>
    <xf numFmtId="176" fontId="18" fillId="0" borderId="6" applyNumberFormat="0" applyFill="0" applyAlignment="0" applyProtection="0"/>
    <xf numFmtId="166" fontId="13" fillId="0" borderId="4" applyAlignment="0" applyProtection="0"/>
    <xf numFmtId="176" fontId="67" fillId="0" borderId="7" applyFill="0" applyProtection="0">
      <alignment horizontal="right"/>
    </xf>
    <xf numFmtId="242" fontId="17" fillId="8" borderId="0" applyFont="0" applyFill="0" applyBorder="0" applyAlignment="0" applyProtection="0"/>
    <xf numFmtId="176" fontId="68" fillId="0" borderId="2">
      <alignment horizontal="center"/>
    </xf>
    <xf numFmtId="230" fontId="69" fillId="0" borderId="0" applyFont="0" applyFill="0" applyBorder="0" applyAlignment="0" applyProtection="0"/>
    <xf numFmtId="176" fontId="70" fillId="0" borderId="0" applyNumberFormat="0" applyFill="0" applyBorder="0" applyAlignment="0" applyProtection="0"/>
    <xf numFmtId="201" fontId="18" fillId="0" borderId="0" applyFill="0" applyBorder="0" applyAlignment="0"/>
    <xf numFmtId="174" fontId="31" fillId="0" borderId="0" applyFill="0" applyBorder="0" applyAlignment="0"/>
    <xf numFmtId="177" fontId="31" fillId="0" borderId="0" applyFill="0" applyBorder="0" applyAlignment="0"/>
    <xf numFmtId="256" fontId="22" fillId="0" borderId="0" applyFill="0" applyBorder="0" applyAlignment="0"/>
    <xf numFmtId="257" fontId="22" fillId="0" borderId="0" applyFill="0" applyBorder="0" applyAlignment="0"/>
    <xf numFmtId="185" fontId="31" fillId="0" borderId="0" applyFill="0" applyBorder="0" applyAlignment="0"/>
    <xf numFmtId="252" fontId="3" fillId="0" borderId="0" applyFill="0" applyBorder="0" applyAlignment="0"/>
    <xf numFmtId="174" fontId="31" fillId="0" borderId="0" applyFill="0" applyBorder="0" applyAlignment="0"/>
    <xf numFmtId="176" fontId="29" fillId="0" borderId="0"/>
    <xf numFmtId="187" fontId="71" fillId="0" borderId="0" applyFont="0" applyFill="0" applyBorder="0" applyAlignment="0" applyProtection="0"/>
    <xf numFmtId="184" fontId="18" fillId="0" borderId="8" applyFont="0" applyFill="0" applyBorder="0" applyProtection="0">
      <alignment horizontal="right"/>
    </xf>
    <xf numFmtId="176" fontId="9" fillId="0" borderId="0" applyNumberFormat="0" applyFont="0" applyBorder="0" applyAlignment="0" applyProtection="0"/>
    <xf numFmtId="37" fontId="72" fillId="0" borderId="0" applyNumberFormat="0" applyFont="0" applyBorder="0" applyAlignment="0" applyProtection="0"/>
    <xf numFmtId="176" fontId="3" fillId="0" borderId="0" applyNumberFormat="0" applyFill="0" applyBorder="0" applyAlignment="0" applyProtection="0"/>
    <xf numFmtId="176" fontId="7" fillId="0" borderId="0" applyNumberFormat="0" applyFill="0" applyBorder="0" applyAlignment="0" applyProtection="0"/>
    <xf numFmtId="176" fontId="3" fillId="0" borderId="0" applyNumberFormat="0" applyFill="0" applyBorder="0" applyAlignment="0" applyProtection="0"/>
    <xf numFmtId="176" fontId="73" fillId="0" borderId="2" applyNumberFormat="0" applyFill="0" applyBorder="0" applyAlignment="0" applyProtection="0">
      <alignment horizontal="center"/>
    </xf>
    <xf numFmtId="176" fontId="74" fillId="0" borderId="0" applyNumberFormat="0" applyFill="0" applyBorder="0" applyProtection="0">
      <alignment horizontal="right"/>
    </xf>
    <xf numFmtId="176" fontId="10" fillId="0" borderId="9">
      <alignment horizontal="center"/>
    </xf>
    <xf numFmtId="185" fontId="31" fillId="0" borderId="0" applyFont="0" applyFill="0" applyBorder="0" applyAlignment="0" applyProtection="0"/>
    <xf numFmtId="176" fontId="59" fillId="0" borderId="0" applyFont="0" applyFill="0" applyBorder="0" applyAlignment="0" applyProtection="0"/>
    <xf numFmtId="40" fontId="71" fillId="0" borderId="0" applyFont="0" applyFill="0" applyBorder="0" applyAlignment="0" applyProtection="0">
      <alignment horizontal="center"/>
    </xf>
    <xf numFmtId="176" fontId="71" fillId="0" borderId="0" applyFont="0" applyFill="0" applyBorder="0" applyAlignment="0" applyProtection="0">
      <alignment horizontal="center"/>
    </xf>
    <xf numFmtId="176" fontId="75" fillId="0" borderId="0" applyFont="0" applyFill="0" applyBorder="0" applyAlignment="0" applyProtection="0">
      <alignment horizontal="right"/>
    </xf>
    <xf numFmtId="176" fontId="75" fillId="0" borderId="0" applyFont="0" applyFill="0" applyBorder="0" applyAlignment="0" applyProtection="0"/>
    <xf numFmtId="176" fontId="75" fillId="0" borderId="0" applyFont="0" applyFill="0" applyBorder="0" applyAlignment="0" applyProtection="0">
      <alignment horizontal="right"/>
    </xf>
    <xf numFmtId="176" fontId="75" fillId="0" borderId="0" applyFont="0" applyFill="0" applyBorder="0" applyAlignment="0" applyProtection="0">
      <alignment horizontal="right"/>
    </xf>
    <xf numFmtId="40" fontId="18" fillId="0" borderId="0" applyFont="0" applyFill="0" applyBorder="0" applyProtection="0">
      <alignment horizontal="right"/>
    </xf>
    <xf numFmtId="3" fontId="30" fillId="0" borderId="0" applyFont="0" applyFill="0" applyBorder="0" applyAlignment="0" applyProtection="0"/>
    <xf numFmtId="176" fontId="31" fillId="0" borderId="0"/>
    <xf numFmtId="176" fontId="77" fillId="0" borderId="0"/>
    <xf numFmtId="176" fontId="31" fillId="0" borderId="0"/>
    <xf numFmtId="176" fontId="77" fillId="0" borderId="0"/>
    <xf numFmtId="176" fontId="76" fillId="0" borderId="0" applyNumberFormat="0" applyFont="0" applyFill="0" applyBorder="0" applyAlignment="0" applyProtection="0"/>
    <xf numFmtId="176" fontId="30" fillId="0" borderId="0" applyNumberFormat="0" applyFont="0" applyFill="0" applyBorder="0" applyAlignment="0" applyProtection="0"/>
    <xf numFmtId="176" fontId="77" fillId="0" borderId="0"/>
    <xf numFmtId="176" fontId="77" fillId="0" borderId="0"/>
    <xf numFmtId="176" fontId="31" fillId="0" borderId="0"/>
    <xf numFmtId="176" fontId="78" fillId="0" borderId="0" applyNumberFormat="0" applyAlignment="0">
      <alignment horizontal="left"/>
    </xf>
    <xf numFmtId="176" fontId="35" fillId="0" borderId="0" applyNumberFormat="0" applyAlignment="0"/>
    <xf numFmtId="244" fontId="3" fillId="0" borderId="10" applyFont="0" applyFill="0" applyBorder="0" applyAlignment="0" applyProtection="0"/>
    <xf numFmtId="174" fontId="31" fillId="0" borderId="0" applyFont="0" applyFill="0" applyBorder="0" applyAlignment="0" applyProtection="0"/>
    <xf numFmtId="205" fontId="3" fillId="0" borderId="0" applyFont="0" applyFill="0" applyBorder="0" applyAlignment="0"/>
    <xf numFmtId="184" fontId="79" fillId="0" borderId="11">
      <protection locked="0"/>
    </xf>
    <xf numFmtId="176" fontId="18" fillId="0" borderId="0" applyFont="0" applyFill="0" applyBorder="0" applyAlignment="0" applyProtection="0"/>
    <xf numFmtId="176" fontId="75" fillId="0" borderId="0" applyFont="0" applyFill="0" applyBorder="0" applyAlignment="0" applyProtection="0">
      <alignment horizontal="right"/>
    </xf>
    <xf numFmtId="176" fontId="75" fillId="0" borderId="0" applyFont="0" applyFill="0" applyBorder="0" applyAlignment="0" applyProtection="0">
      <alignment horizontal="right"/>
    </xf>
    <xf numFmtId="176" fontId="80" fillId="0" borderId="0" applyFont="0" applyFill="0" applyBorder="0" applyAlignment="0" applyProtection="0"/>
    <xf numFmtId="184" fontId="50" fillId="7" borderId="0" applyFont="0" applyFill="0" applyBorder="0" applyAlignment="0" applyProtection="0"/>
    <xf numFmtId="173" fontId="3" fillId="0" borderId="10" applyFont="0" applyFill="0" applyBorder="0" applyAlignment="0" applyProtection="0"/>
    <xf numFmtId="166" fontId="1"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90" fontId="81" fillId="2" borderId="0">
      <alignment horizontal="right"/>
    </xf>
    <xf numFmtId="176" fontId="75" fillId="0" borderId="0" applyFill="0" applyBorder="0" applyProtection="0">
      <alignment vertical="center"/>
    </xf>
    <xf numFmtId="183" fontId="82" fillId="0" borderId="0" applyFill="0" applyBorder="0">
      <alignment horizontal="right"/>
    </xf>
    <xf numFmtId="176" fontId="46" fillId="2" borderId="3">
      <alignment horizontal="right"/>
    </xf>
    <xf numFmtId="176" fontId="46" fillId="2" borderId="3">
      <alignment horizontal="right"/>
    </xf>
    <xf numFmtId="176" fontId="46" fillId="2" borderId="3">
      <alignment horizontal="right"/>
    </xf>
    <xf numFmtId="176" fontId="46" fillId="2" borderId="3">
      <alignment horizontal="right"/>
    </xf>
    <xf numFmtId="176" fontId="83" fillId="2" borderId="3">
      <alignment horizontal="right"/>
    </xf>
    <xf numFmtId="176" fontId="46" fillId="2" borderId="3">
      <alignment horizontal="right"/>
    </xf>
    <xf numFmtId="176" fontId="46" fillId="2" borderId="3">
      <alignment horizontal="right"/>
    </xf>
    <xf numFmtId="176" fontId="46" fillId="2" borderId="3">
      <alignment horizontal="right"/>
    </xf>
    <xf numFmtId="176" fontId="83" fillId="2" borderId="3">
      <alignment horizontal="right"/>
    </xf>
    <xf numFmtId="176" fontId="83" fillId="2" borderId="3">
      <alignment horizontal="right"/>
    </xf>
    <xf numFmtId="176" fontId="83" fillId="2" borderId="3">
      <alignment horizontal="right"/>
    </xf>
    <xf numFmtId="176" fontId="46" fillId="2" borderId="3">
      <alignment horizontal="right"/>
    </xf>
    <xf numFmtId="176" fontId="46" fillId="2" borderId="3">
      <alignment horizontal="right"/>
    </xf>
    <xf numFmtId="176" fontId="46" fillId="2" borderId="3">
      <alignment horizontal="right"/>
    </xf>
    <xf numFmtId="176" fontId="83" fillId="2" borderId="3">
      <alignment horizontal="right"/>
    </xf>
    <xf numFmtId="176" fontId="83" fillId="2" borderId="3">
      <alignment horizontal="right"/>
    </xf>
    <xf numFmtId="176" fontId="46" fillId="2" borderId="3">
      <alignment horizontal="right"/>
    </xf>
    <xf numFmtId="176" fontId="46" fillId="2" borderId="3">
      <alignment horizontal="right"/>
    </xf>
    <xf numFmtId="176" fontId="46" fillId="2" borderId="3">
      <alignment horizontal="right"/>
    </xf>
    <xf numFmtId="176" fontId="46" fillId="2" borderId="3">
      <alignment horizontal="right"/>
    </xf>
    <xf numFmtId="176" fontId="83" fillId="2" borderId="3">
      <alignment horizontal="right"/>
    </xf>
    <xf numFmtId="176" fontId="46" fillId="2" borderId="3">
      <alignment horizontal="right"/>
    </xf>
    <xf numFmtId="176" fontId="46" fillId="2" borderId="3">
      <alignment horizontal="right"/>
    </xf>
    <xf numFmtId="176" fontId="46" fillId="2" borderId="3">
      <alignment horizontal="right"/>
    </xf>
    <xf numFmtId="176" fontId="83" fillId="2" borderId="3">
      <alignment horizontal="right"/>
    </xf>
    <xf numFmtId="176" fontId="83" fillId="2" borderId="3">
      <alignment horizontal="right"/>
    </xf>
    <xf numFmtId="176" fontId="83" fillId="2" borderId="3">
      <alignment horizontal="right"/>
    </xf>
    <xf numFmtId="176" fontId="46" fillId="2" borderId="3">
      <alignment horizontal="right"/>
    </xf>
    <xf numFmtId="176" fontId="46" fillId="2" borderId="3">
      <alignment horizontal="right"/>
    </xf>
    <xf numFmtId="176" fontId="46" fillId="2" borderId="3">
      <alignment horizontal="right"/>
    </xf>
    <xf numFmtId="176" fontId="83" fillId="2" borderId="3">
      <alignment horizontal="right"/>
    </xf>
    <xf numFmtId="176" fontId="83" fillId="2" borderId="3">
      <alignment horizontal="right"/>
    </xf>
    <xf numFmtId="176" fontId="46" fillId="2" borderId="3">
      <alignment horizontal="right"/>
    </xf>
    <xf numFmtId="176" fontId="46" fillId="2" borderId="3">
      <alignment horizontal="right"/>
    </xf>
    <xf numFmtId="176" fontId="46" fillId="2" borderId="3">
      <alignment horizontal="right"/>
    </xf>
    <xf numFmtId="176" fontId="46" fillId="2" borderId="3">
      <alignment horizontal="right"/>
    </xf>
    <xf numFmtId="176" fontId="46" fillId="2" borderId="3">
      <alignment horizontal="right"/>
    </xf>
    <xf numFmtId="176" fontId="46" fillId="2" borderId="3">
      <alignment horizontal="right"/>
    </xf>
    <xf numFmtId="176" fontId="83" fillId="2" borderId="3">
      <alignment horizontal="right"/>
    </xf>
    <xf numFmtId="176" fontId="83" fillId="2" borderId="3">
      <alignment horizontal="right"/>
    </xf>
    <xf numFmtId="176" fontId="83" fillId="2" borderId="3">
      <alignment horizontal="right"/>
    </xf>
    <xf numFmtId="176" fontId="83" fillId="2" borderId="3">
      <alignment horizontal="right"/>
    </xf>
    <xf numFmtId="176" fontId="83" fillId="2" borderId="3">
      <alignment horizontal="right"/>
    </xf>
    <xf numFmtId="176" fontId="83" fillId="2" borderId="3">
      <alignment horizontal="right"/>
    </xf>
    <xf numFmtId="176" fontId="46" fillId="2" borderId="3">
      <alignment horizontal="right"/>
    </xf>
    <xf numFmtId="176" fontId="46" fillId="2" borderId="3">
      <alignment horizontal="right"/>
    </xf>
    <xf numFmtId="176" fontId="46" fillId="2" borderId="3">
      <alignment horizontal="right"/>
    </xf>
    <xf numFmtId="176" fontId="46" fillId="2" borderId="3">
      <alignment horizontal="right"/>
    </xf>
    <xf numFmtId="176" fontId="46" fillId="2" borderId="3">
      <alignment horizontal="right"/>
    </xf>
    <xf numFmtId="176" fontId="46" fillId="2" borderId="3">
      <alignment horizontal="right"/>
    </xf>
    <xf numFmtId="176" fontId="83" fillId="2" borderId="3">
      <alignment horizontal="right"/>
    </xf>
    <xf numFmtId="176" fontId="83" fillId="2" borderId="3">
      <alignment horizontal="right"/>
    </xf>
    <xf numFmtId="176" fontId="83" fillId="2" borderId="3">
      <alignment horizontal="right"/>
    </xf>
    <xf numFmtId="176" fontId="83" fillId="2" borderId="3">
      <alignment horizontal="right"/>
    </xf>
    <xf numFmtId="176" fontId="83" fillId="2" borderId="3">
      <alignment horizontal="right"/>
    </xf>
    <xf numFmtId="176" fontId="83" fillId="2" borderId="3">
      <alignment horizontal="right"/>
    </xf>
    <xf numFmtId="231" fontId="69" fillId="0" borderId="0" applyFont="0" applyFill="0" applyBorder="0" applyAlignment="0" applyProtection="0"/>
    <xf numFmtId="176" fontId="75" fillId="0" borderId="0" applyNumberFormat="0">
      <alignment horizontal="right"/>
    </xf>
    <xf numFmtId="184" fontId="84" fillId="0" borderId="0" applyNumberFormat="0" applyFill="0" applyBorder="0" applyAlignment="0"/>
    <xf numFmtId="176" fontId="18" fillId="0" borderId="0" applyNumberFormat="0">
      <alignment horizontal="right"/>
    </xf>
    <xf numFmtId="176" fontId="30" fillId="0" borderId="0" applyFont="0" applyFill="0" applyBorder="0" applyAlignment="0" applyProtection="0"/>
    <xf numFmtId="22" fontId="85" fillId="0" borderId="0">
      <alignment horizontal="left"/>
    </xf>
    <xf numFmtId="15" fontId="10" fillId="0" borderId="0" applyFill="0" applyBorder="0" applyAlignment="0"/>
    <xf numFmtId="187" fontId="10" fillId="5" borderId="0" applyFont="0" applyFill="0" applyBorder="0" applyAlignment="0" applyProtection="0"/>
    <xf numFmtId="214" fontId="18" fillId="5" borderId="12" applyFont="0" applyFill="0" applyBorder="0" applyAlignment="0" applyProtection="0"/>
    <xf numFmtId="216" fontId="18" fillId="5" borderId="0" applyFont="0" applyFill="0" applyBorder="0" applyAlignment="0" applyProtection="0"/>
    <xf numFmtId="17" fontId="10" fillId="0" borderId="0" applyFill="0" applyBorder="0">
      <alignment horizontal="right"/>
    </xf>
    <xf numFmtId="212" fontId="18" fillId="0" borderId="2"/>
    <xf numFmtId="176" fontId="75" fillId="0" borderId="0" applyFont="0" applyFill="0" applyBorder="0" applyAlignment="0" applyProtection="0"/>
    <xf numFmtId="14" fontId="53" fillId="0" borderId="0" applyFill="0" applyBorder="0" applyAlignment="0"/>
    <xf numFmtId="250" fontId="86" fillId="8" borderId="13" applyFill="0" applyBorder="0">
      <alignment horizontal="right"/>
    </xf>
    <xf numFmtId="214" fontId="18" fillId="0" borderId="0" applyFill="0" applyBorder="0">
      <alignment horizontal="right"/>
    </xf>
    <xf numFmtId="205" fontId="18" fillId="0" borderId="14">
      <alignment horizontal="center"/>
    </xf>
    <xf numFmtId="17" fontId="18" fillId="0" borderId="0" applyFont="0" applyFill="0" applyBorder="0" applyAlignment="0" applyProtection="0">
      <alignment horizontal="center"/>
    </xf>
    <xf numFmtId="218" fontId="71" fillId="0" borderId="0" applyFont="0" applyFill="0" applyBorder="0" applyAlignment="0" applyProtection="0">
      <alignment horizontal="center"/>
    </xf>
    <xf numFmtId="40" fontId="87" fillId="0" borderId="0"/>
    <xf numFmtId="176" fontId="18" fillId="0" borderId="0" applyFont="0" applyFill="0" applyBorder="0" applyAlignment="0" applyProtection="0"/>
    <xf numFmtId="176" fontId="18" fillId="0" borderId="0" applyFont="0" applyFill="0" applyBorder="0" applyAlignment="0" applyProtection="0"/>
    <xf numFmtId="184" fontId="59" fillId="0" borderId="0" applyFont="0" applyFill="0" applyBorder="0" applyAlignment="0" applyProtection="0"/>
    <xf numFmtId="176" fontId="59" fillId="0" borderId="0"/>
    <xf numFmtId="183" fontId="3" fillId="0" borderId="0"/>
    <xf numFmtId="182" fontId="59" fillId="0" borderId="0" applyFont="0" applyFill="0" applyBorder="0" applyAlignment="0" applyProtection="0"/>
    <xf numFmtId="176" fontId="75" fillId="0" borderId="15" applyNumberFormat="0" applyFont="0" applyFill="0" applyAlignment="0" applyProtection="0"/>
    <xf numFmtId="176" fontId="88" fillId="0" borderId="0" applyNumberFormat="0" applyFont="0" applyBorder="0" applyAlignment="0">
      <alignment horizontal="centerContinuous"/>
    </xf>
    <xf numFmtId="179" fontId="2" fillId="10" borderId="0" applyFill="0" applyBorder="0" applyProtection="0"/>
    <xf numFmtId="185" fontId="31" fillId="0" borderId="0" applyFill="0" applyBorder="0" applyAlignment="0"/>
    <xf numFmtId="174" fontId="31" fillId="0" borderId="0" applyFill="0" applyBorder="0" applyAlignment="0"/>
    <xf numFmtId="185" fontId="31" fillId="0" borderId="0" applyFill="0" applyBorder="0" applyAlignment="0"/>
    <xf numFmtId="252" fontId="3" fillId="0" borderId="0" applyFill="0" applyBorder="0" applyAlignment="0"/>
    <xf numFmtId="174" fontId="31" fillId="0" borderId="0" applyFill="0" applyBorder="0" applyAlignment="0"/>
    <xf numFmtId="176" fontId="89" fillId="0" borderId="0" applyNumberFormat="0" applyAlignment="0">
      <alignment horizontal="left"/>
    </xf>
    <xf numFmtId="176" fontId="90" fillId="0" borderId="0" applyNumberFormat="0" applyFill="0" applyBorder="0" applyAlignment="0" applyProtection="0"/>
    <xf numFmtId="176" fontId="91" fillId="0" borderId="0" applyNumberFormat="0" applyFill="0" applyBorder="0" applyAlignment="0" applyProtection="0"/>
    <xf numFmtId="176" fontId="46" fillId="11" borderId="0"/>
    <xf numFmtId="176" fontId="46" fillId="11" borderId="0"/>
    <xf numFmtId="176" fontId="92" fillId="11" borderId="0"/>
    <xf numFmtId="176" fontId="92" fillId="0" borderId="0"/>
    <xf numFmtId="176" fontId="83" fillId="11" borderId="0"/>
    <xf numFmtId="176" fontId="83" fillId="0" borderId="0"/>
    <xf numFmtId="176" fontId="83" fillId="0" borderId="0"/>
    <xf numFmtId="176" fontId="48" fillId="0" borderId="0">
      <alignment horizontal="left" wrapText="1"/>
    </xf>
    <xf numFmtId="38" fontId="18" fillId="0" borderId="0" applyFont="0" applyFill="0" applyBorder="0" applyAlignment="0" applyProtection="0"/>
    <xf numFmtId="176" fontId="32" fillId="0" borderId="0" applyFont="0" applyFill="0" applyBorder="0" applyAlignment="0" applyProtection="0"/>
    <xf numFmtId="3" fontId="2" fillId="0" borderId="16" applyFill="0" applyBorder="0"/>
    <xf numFmtId="176" fontId="93" fillId="0" borderId="0" applyFont="0" applyFill="0" applyBorder="0" applyAlignment="0" applyProtection="0"/>
    <xf numFmtId="176" fontId="59" fillId="0" borderId="0" applyProtection="0"/>
    <xf numFmtId="176" fontId="2" fillId="0" borderId="0" applyProtection="0"/>
    <xf numFmtId="176" fontId="18" fillId="0" borderId="0" applyProtection="0"/>
    <xf numFmtId="176" fontId="3" fillId="0" borderId="0" applyProtection="0"/>
    <xf numFmtId="37" fontId="59" fillId="0" borderId="0" applyBorder="0" applyAlignment="0"/>
    <xf numFmtId="39" fontId="50" fillId="0" borderId="0"/>
    <xf numFmtId="3" fontId="94" fillId="0" borderId="0" applyFont="0" applyFill="0" applyBorder="0" applyAlignment="0" applyProtection="0"/>
    <xf numFmtId="2" fontId="30" fillId="0" borderId="0" applyFont="0" applyFill="0" applyBorder="0" applyAlignment="0" applyProtection="0"/>
    <xf numFmtId="211" fontId="18" fillId="5" borderId="0" applyFont="0" applyFill="0" applyBorder="0" applyAlignment="0"/>
    <xf numFmtId="222" fontId="95" fillId="0" borderId="0">
      <protection locked="0"/>
    </xf>
    <xf numFmtId="176" fontId="82" fillId="0" borderId="0" applyFill="0" applyBorder="0">
      <alignment horizontal="right"/>
    </xf>
    <xf numFmtId="176" fontId="96" fillId="0" borderId="0" applyFill="0" applyBorder="0" applyProtection="0">
      <alignment horizontal="left"/>
    </xf>
    <xf numFmtId="176" fontId="97" fillId="0" borderId="0" applyNumberFormat="0" applyFill="0" applyBorder="0" applyAlignment="0" applyProtection="0"/>
    <xf numFmtId="176" fontId="3" fillId="7" borderId="17" applyFont="0" applyBorder="0" applyAlignment="0" applyProtection="0">
      <alignment vertical="top"/>
    </xf>
    <xf numFmtId="13" fontId="98" fillId="0" borderId="0" applyFont="0" applyFill="0" applyBorder="0" applyAlignment="0" applyProtection="0"/>
    <xf numFmtId="176" fontId="46" fillId="0" borderId="18"/>
    <xf numFmtId="176" fontId="46" fillId="2" borderId="3">
      <alignment horizontal="right"/>
    </xf>
    <xf numFmtId="176" fontId="46" fillId="2" borderId="3">
      <alignment horizontal="right"/>
    </xf>
    <xf numFmtId="176" fontId="46" fillId="2" borderId="3">
      <alignment horizontal="right"/>
    </xf>
    <xf numFmtId="176" fontId="46" fillId="2" borderId="3">
      <alignment horizontal="right"/>
    </xf>
    <xf numFmtId="176" fontId="83" fillId="2" borderId="3">
      <alignment horizontal="right"/>
    </xf>
    <xf numFmtId="176" fontId="46" fillId="2" borderId="3">
      <alignment horizontal="right"/>
    </xf>
    <xf numFmtId="176" fontId="46" fillId="2" borderId="3">
      <alignment horizontal="right"/>
    </xf>
    <xf numFmtId="176" fontId="46" fillId="2" borderId="3">
      <alignment horizontal="right"/>
    </xf>
    <xf numFmtId="176" fontId="83" fillId="2" borderId="3">
      <alignment horizontal="right"/>
    </xf>
    <xf numFmtId="176" fontId="83" fillId="2" borderId="3">
      <alignment horizontal="right"/>
    </xf>
    <xf numFmtId="176" fontId="83" fillId="2" borderId="3">
      <alignment horizontal="right"/>
    </xf>
    <xf numFmtId="176" fontId="46" fillId="2" borderId="3">
      <alignment horizontal="right"/>
    </xf>
    <xf numFmtId="176" fontId="46" fillId="2" borderId="3">
      <alignment horizontal="right"/>
    </xf>
    <xf numFmtId="176" fontId="46" fillId="2" borderId="3">
      <alignment horizontal="right"/>
    </xf>
    <xf numFmtId="176" fontId="83" fillId="2" borderId="3">
      <alignment horizontal="right"/>
    </xf>
    <xf numFmtId="176" fontId="83" fillId="2" borderId="3">
      <alignment horizontal="right"/>
    </xf>
    <xf numFmtId="176" fontId="46" fillId="2" borderId="3">
      <alignment horizontal="right"/>
    </xf>
    <xf numFmtId="176" fontId="46" fillId="2" borderId="3">
      <alignment horizontal="right"/>
    </xf>
    <xf numFmtId="176" fontId="46" fillId="2" borderId="3">
      <alignment horizontal="right"/>
    </xf>
    <xf numFmtId="176" fontId="46" fillId="2" borderId="3">
      <alignment horizontal="right"/>
    </xf>
    <xf numFmtId="176" fontId="83" fillId="2" borderId="3">
      <alignment horizontal="right"/>
    </xf>
    <xf numFmtId="176" fontId="46" fillId="2" borderId="3">
      <alignment horizontal="right"/>
    </xf>
    <xf numFmtId="176" fontId="46" fillId="2" borderId="3">
      <alignment horizontal="right"/>
    </xf>
    <xf numFmtId="176" fontId="46" fillId="2" borderId="3">
      <alignment horizontal="right"/>
    </xf>
    <xf numFmtId="176" fontId="83" fillId="2" borderId="3">
      <alignment horizontal="right"/>
    </xf>
    <xf numFmtId="176" fontId="83" fillId="2" borderId="3">
      <alignment horizontal="right"/>
    </xf>
    <xf numFmtId="176" fontId="83" fillId="2" borderId="3">
      <alignment horizontal="right"/>
    </xf>
    <xf numFmtId="176" fontId="46" fillId="2" borderId="3">
      <alignment horizontal="right"/>
    </xf>
    <xf numFmtId="176" fontId="46" fillId="2" borderId="3">
      <alignment horizontal="right"/>
    </xf>
    <xf numFmtId="176" fontId="46" fillId="2" borderId="3">
      <alignment horizontal="right"/>
    </xf>
    <xf numFmtId="176" fontId="83" fillId="2" borderId="3">
      <alignment horizontal="right"/>
    </xf>
    <xf numFmtId="176" fontId="83" fillId="2" borderId="3">
      <alignment horizontal="right"/>
    </xf>
    <xf numFmtId="176" fontId="46" fillId="2" borderId="3">
      <alignment horizontal="right"/>
    </xf>
    <xf numFmtId="176" fontId="46" fillId="2" borderId="3">
      <alignment horizontal="right"/>
    </xf>
    <xf numFmtId="176" fontId="46" fillId="2" borderId="3">
      <alignment horizontal="right"/>
    </xf>
    <xf numFmtId="176" fontId="46" fillId="2" borderId="3">
      <alignment horizontal="right"/>
    </xf>
    <xf numFmtId="176" fontId="46" fillId="2" borderId="3">
      <alignment horizontal="right"/>
    </xf>
    <xf numFmtId="176" fontId="46" fillId="2" borderId="3">
      <alignment horizontal="right"/>
    </xf>
    <xf numFmtId="176" fontId="83" fillId="2" borderId="3">
      <alignment horizontal="right"/>
    </xf>
    <xf numFmtId="176" fontId="83" fillId="2" borderId="3">
      <alignment horizontal="right"/>
    </xf>
    <xf numFmtId="176" fontId="83" fillId="2" borderId="3">
      <alignment horizontal="right"/>
    </xf>
    <xf numFmtId="176" fontId="83" fillId="2" borderId="3">
      <alignment horizontal="right"/>
    </xf>
    <xf numFmtId="176" fontId="83" fillId="2" borderId="3">
      <alignment horizontal="right"/>
    </xf>
    <xf numFmtId="176" fontId="83" fillId="2" borderId="3">
      <alignment horizontal="right"/>
    </xf>
    <xf numFmtId="176" fontId="46" fillId="2" borderId="3">
      <alignment horizontal="right"/>
    </xf>
    <xf numFmtId="176" fontId="46" fillId="2" borderId="3">
      <alignment horizontal="right"/>
    </xf>
    <xf numFmtId="176" fontId="46" fillId="2" borderId="3">
      <alignment horizontal="right"/>
    </xf>
    <xf numFmtId="176" fontId="46" fillId="2" borderId="3">
      <alignment horizontal="right"/>
    </xf>
    <xf numFmtId="176" fontId="46" fillId="2" borderId="3">
      <alignment horizontal="right"/>
    </xf>
    <xf numFmtId="176" fontId="46" fillId="2" borderId="3">
      <alignment horizontal="right"/>
    </xf>
    <xf numFmtId="176" fontId="83" fillId="2" borderId="3">
      <alignment horizontal="right"/>
    </xf>
    <xf numFmtId="176" fontId="83" fillId="2" borderId="3">
      <alignment horizontal="right"/>
    </xf>
    <xf numFmtId="176" fontId="83" fillId="2" borderId="3">
      <alignment horizontal="right"/>
    </xf>
    <xf numFmtId="176" fontId="83" fillId="2" borderId="3">
      <alignment horizontal="right"/>
    </xf>
    <xf numFmtId="176" fontId="83" fillId="2" borderId="3">
      <alignment horizontal="right"/>
    </xf>
    <xf numFmtId="176" fontId="83" fillId="2" borderId="3">
      <alignment horizontal="right"/>
    </xf>
    <xf numFmtId="37" fontId="3" fillId="0" borderId="0"/>
    <xf numFmtId="40" fontId="18" fillId="5" borderId="19" applyFont="0" applyFill="0" applyBorder="0" applyAlignment="0" applyProtection="0"/>
    <xf numFmtId="38" fontId="3" fillId="2" borderId="0" applyNumberFormat="0" applyBorder="0" applyAlignment="0" applyProtection="0"/>
    <xf numFmtId="263" fontId="99" fillId="0" borderId="0" applyFill="0" applyBorder="0" applyAlignment="0" applyProtection="0"/>
    <xf numFmtId="174" fontId="100" fillId="5" borderId="17" applyNumberFormat="0" applyFont="0" applyAlignment="0" applyProtection="0"/>
    <xf numFmtId="176" fontId="101" fillId="0" borderId="0" applyNumberFormat="0" applyFill="0" applyBorder="0" applyAlignment="0" applyProtection="0"/>
    <xf numFmtId="176" fontId="75" fillId="0" borderId="0" applyFont="0" applyFill="0" applyBorder="0" applyAlignment="0" applyProtection="0">
      <alignment horizontal="right"/>
    </xf>
    <xf numFmtId="176" fontId="102" fillId="0" borderId="0" applyNumberFormat="0" applyFill="0" applyBorder="0" applyAlignment="0" applyProtection="0"/>
    <xf numFmtId="176" fontId="38" fillId="0" borderId="20" applyNumberFormat="0" applyAlignment="0" applyProtection="0">
      <alignment horizontal="left" vertical="center"/>
    </xf>
    <xf numFmtId="176" fontId="38" fillId="0" borderId="21">
      <alignment horizontal="left" vertical="center"/>
    </xf>
    <xf numFmtId="176" fontId="103" fillId="0" borderId="0">
      <alignment horizontal="center"/>
    </xf>
    <xf numFmtId="176" fontId="23" fillId="0" borderId="0" applyFill="0" applyBorder="0" applyProtection="0">
      <alignment horizontal="right"/>
    </xf>
    <xf numFmtId="176" fontId="33" fillId="0" borderId="0" applyNumberFormat="0" applyFill="0" applyBorder="0" applyAlignment="0" applyProtection="0"/>
    <xf numFmtId="176" fontId="34" fillId="0" borderId="0" applyNumberFormat="0" applyFill="0" applyBorder="0" applyAlignment="0" applyProtection="0"/>
    <xf numFmtId="176" fontId="104" fillId="0" borderId="0" applyProtection="0">
      <alignment horizontal="left"/>
    </xf>
    <xf numFmtId="176" fontId="43" fillId="0" borderId="0" applyFill="0" applyBorder="0" applyProtection="0">
      <alignment horizontal="left"/>
    </xf>
    <xf numFmtId="200" fontId="18" fillId="0" borderId="0">
      <protection locked="0"/>
    </xf>
    <xf numFmtId="200" fontId="18" fillId="0" borderId="0">
      <protection locked="0"/>
    </xf>
    <xf numFmtId="176" fontId="101" fillId="0" borderId="22" applyNumberFormat="0" applyFill="0" applyAlignment="0" applyProtection="0"/>
    <xf numFmtId="176" fontId="4" fillId="0" borderId="0" applyNumberFormat="0" applyFill="0" applyBorder="0" applyAlignment="0" applyProtection="0">
      <alignment vertical="top"/>
      <protection locked="0"/>
    </xf>
    <xf numFmtId="176" fontId="105" fillId="0" borderId="0" applyNumberFormat="0" applyFill="0" applyBorder="0" applyAlignment="0" applyProtection="0">
      <alignment vertical="top"/>
      <protection locked="0"/>
    </xf>
    <xf numFmtId="176" fontId="106" fillId="0" borderId="0" applyNumberFormat="0" applyFill="0" applyBorder="0" applyAlignment="0" applyProtection="0">
      <alignment vertical="top"/>
      <protection locked="0"/>
    </xf>
    <xf numFmtId="247" fontId="107" fillId="0" borderId="0" applyFill="0" applyBorder="0" applyAlignment="0" applyProtection="0"/>
    <xf numFmtId="187" fontId="59" fillId="0" borderId="0" applyFont="0" applyFill="0" applyBorder="0" applyAlignment="0" applyProtection="0"/>
    <xf numFmtId="176" fontId="108" fillId="0" borderId="0" applyNumberFormat="0" applyFill="0" applyBorder="0" applyAlignment="0" applyProtection="0">
      <alignment horizontal="left"/>
    </xf>
    <xf numFmtId="176" fontId="35" fillId="0" borderId="0"/>
    <xf numFmtId="265" fontId="18" fillId="0" borderId="0" applyNumberFormat="0" applyFill="0" applyBorder="0" applyAlignment="0" applyProtection="0"/>
    <xf numFmtId="265" fontId="18" fillId="0" borderId="0" applyNumberFormat="0" applyFill="0" applyBorder="0" applyAlignment="0" applyProtection="0"/>
    <xf numFmtId="174" fontId="109" fillId="5" borderId="17" applyNumberFormat="0" applyAlignment="0" applyProtection="0"/>
    <xf numFmtId="236" fontId="110" fillId="0" borderId="0"/>
    <xf numFmtId="10" fontId="3" fillId="5" borderId="17" applyNumberFormat="0" applyBorder="0" applyAlignment="0" applyProtection="0"/>
    <xf numFmtId="174" fontId="32" fillId="12" borderId="0"/>
    <xf numFmtId="184" fontId="3" fillId="0" borderId="0"/>
    <xf numFmtId="214" fontId="18" fillId="5" borderId="0" applyFont="0" applyBorder="0" applyAlignment="0" applyProtection="0">
      <protection locked="0"/>
    </xf>
    <xf numFmtId="211" fontId="18" fillId="5" borderId="0" applyFont="0" applyBorder="0" applyAlignment="0">
      <protection locked="0"/>
    </xf>
    <xf numFmtId="187" fontId="3" fillId="0" borderId="0"/>
    <xf numFmtId="176" fontId="111" fillId="13" borderId="0" applyNumberFormat="0" applyBorder="0" applyAlignment="0">
      <protection locked="0"/>
    </xf>
    <xf numFmtId="207" fontId="18" fillId="0" borderId="0"/>
    <xf numFmtId="10" fontId="3" fillId="5" borderId="0">
      <protection locked="0"/>
    </xf>
    <xf numFmtId="260" fontId="86" fillId="5" borderId="0" applyFont="0" applyBorder="0" applyAlignment="0">
      <protection locked="0"/>
    </xf>
    <xf numFmtId="187" fontId="18" fillId="5" borderId="0" applyNumberFormat="0" applyBorder="0" applyAlignment="0">
      <protection locked="0"/>
    </xf>
    <xf numFmtId="190" fontId="112" fillId="0" borderId="23" applyFill="0" applyBorder="0" applyAlignment="0" applyProtection="0"/>
    <xf numFmtId="176" fontId="3" fillId="5" borderId="0" applyNumberFormat="0" applyFont="0" applyBorder="0" applyAlignment="0" applyProtection="0">
      <alignment horizontal="center"/>
      <protection locked="0"/>
    </xf>
    <xf numFmtId="176" fontId="3" fillId="5" borderId="2" applyNumberFormat="0" applyFont="0" applyAlignment="0" applyProtection="0">
      <alignment horizontal="center"/>
      <protection locked="0"/>
    </xf>
    <xf numFmtId="176" fontId="112" fillId="0" borderId="0" applyFill="0" applyBorder="0" applyProtection="0">
      <alignment vertical="center"/>
    </xf>
    <xf numFmtId="176" fontId="112" fillId="0" borderId="0" applyFill="0" applyBorder="0" applyProtection="0">
      <alignment vertical="center"/>
    </xf>
    <xf numFmtId="176" fontId="112" fillId="0" borderId="0" applyFill="0" applyBorder="0" applyProtection="0">
      <alignment vertical="center"/>
    </xf>
    <xf numFmtId="176" fontId="112" fillId="0" borderId="0" applyFill="0" applyBorder="0" applyProtection="0">
      <alignment vertical="center"/>
    </xf>
    <xf numFmtId="186" fontId="69" fillId="0" borderId="0"/>
    <xf numFmtId="176" fontId="3" fillId="0" borderId="0" applyNumberFormat="0" applyFill="0" applyBorder="0" applyAlignment="0" applyProtection="0"/>
    <xf numFmtId="176" fontId="10" fillId="0" borderId="0" applyNumberFormat="0" applyFill="0" applyBorder="0" applyAlignment="0" applyProtection="0"/>
    <xf numFmtId="176" fontId="18" fillId="0" borderId="0" applyNumberFormat="0" applyFill="0" applyBorder="0" applyAlignment="0" applyProtection="0"/>
    <xf numFmtId="190" fontId="39" fillId="2" borderId="0" applyFont="0">
      <alignment horizontal="center"/>
    </xf>
    <xf numFmtId="232" fontId="69" fillId="0" borderId="0" applyFont="0" applyFill="0" applyBorder="0" applyAlignment="0" applyProtection="0"/>
    <xf numFmtId="176" fontId="18" fillId="0" borderId="0">
      <alignment horizontal="left"/>
    </xf>
    <xf numFmtId="176" fontId="4" fillId="0" borderId="0" applyNumberFormat="0" applyFill="0" applyBorder="0" applyAlignment="0" applyProtection="0">
      <alignment vertical="top"/>
      <protection locked="0"/>
    </xf>
    <xf numFmtId="176" fontId="5" fillId="0" borderId="0" applyNumberFormat="0" applyFill="0" applyBorder="0" applyAlignment="0" applyProtection="0">
      <alignment vertical="top"/>
      <protection locked="0"/>
    </xf>
    <xf numFmtId="176" fontId="113" fillId="0" borderId="0"/>
    <xf numFmtId="185" fontId="31" fillId="0" borderId="0" applyFill="0" applyBorder="0" applyAlignment="0"/>
    <xf numFmtId="174" fontId="31" fillId="0" borderId="0" applyFill="0" applyBorder="0" applyAlignment="0"/>
    <xf numFmtId="185" fontId="31" fillId="0" borderId="0" applyFill="0" applyBorder="0" applyAlignment="0"/>
    <xf numFmtId="252" fontId="3" fillId="0" borderId="0" applyFill="0" applyBorder="0" applyAlignment="0"/>
    <xf numFmtId="174" fontId="31" fillId="0" borderId="0" applyFill="0" applyBorder="0" applyAlignment="0"/>
    <xf numFmtId="174" fontId="114" fillId="14" borderId="0"/>
    <xf numFmtId="174" fontId="18" fillId="15" borderId="0" applyNumberFormat="0" applyFont="0" applyFill="0" applyBorder="0" applyAlignment="0">
      <alignment horizontal="centerContinuous"/>
    </xf>
    <xf numFmtId="176" fontId="45" fillId="0" borderId="0">
      <alignment horizontal="right"/>
    </xf>
    <xf numFmtId="176" fontId="92" fillId="11" borderId="0">
      <alignment horizontal="right"/>
    </xf>
    <xf numFmtId="14" fontId="10" fillId="0" borderId="2" applyFont="0" applyFill="0" applyBorder="0" applyAlignment="0" applyProtection="0"/>
    <xf numFmtId="176" fontId="18" fillId="0" borderId="0">
      <alignment horizontal="right"/>
    </xf>
    <xf numFmtId="176" fontId="18" fillId="0" borderId="0">
      <alignment horizontal="right"/>
    </xf>
    <xf numFmtId="176" fontId="45" fillId="0" borderId="0">
      <alignment horizontal="right"/>
    </xf>
    <xf numFmtId="176" fontId="18" fillId="0" borderId="0">
      <alignment horizontal="right"/>
    </xf>
    <xf numFmtId="176" fontId="45" fillId="0" borderId="0">
      <alignment horizontal="right"/>
    </xf>
    <xf numFmtId="176" fontId="18" fillId="0" borderId="0">
      <alignment horizontal="right"/>
    </xf>
    <xf numFmtId="176" fontId="18" fillId="0" borderId="0">
      <alignment horizontal="right"/>
    </xf>
    <xf numFmtId="176" fontId="45" fillId="0" borderId="0">
      <alignment horizontal="right"/>
    </xf>
    <xf numFmtId="176" fontId="18" fillId="0" borderId="0">
      <alignment horizontal="right"/>
    </xf>
    <xf numFmtId="176" fontId="18" fillId="0" borderId="0">
      <alignment horizontal="right"/>
    </xf>
    <xf numFmtId="176" fontId="18" fillId="0" borderId="0">
      <alignment horizontal="right"/>
    </xf>
    <xf numFmtId="176" fontId="45" fillId="0" borderId="0">
      <alignment horizontal="right"/>
    </xf>
    <xf numFmtId="176" fontId="45" fillId="0" borderId="0">
      <alignment horizontal="right"/>
    </xf>
    <xf numFmtId="176" fontId="18" fillId="0" borderId="0">
      <alignment horizontal="right"/>
    </xf>
    <xf numFmtId="176" fontId="18" fillId="0" borderId="0">
      <alignment horizontal="right"/>
    </xf>
    <xf numFmtId="176" fontId="45" fillId="0" borderId="0">
      <alignment horizontal="right"/>
    </xf>
    <xf numFmtId="176" fontId="45" fillId="0" borderId="0">
      <alignment horizontal="right"/>
    </xf>
    <xf numFmtId="263" fontId="84" fillId="0" borderId="0" applyFill="0" applyBorder="0" applyAlignment="0" applyProtection="0"/>
    <xf numFmtId="37" fontId="69" fillId="0" borderId="0"/>
    <xf numFmtId="38" fontId="50" fillId="0" borderId="0" applyFont="0" applyFill="0" applyBorder="0" applyAlignment="0" applyProtection="0"/>
    <xf numFmtId="40" fontId="50" fillId="0" borderId="0" applyFont="0" applyFill="0" applyBorder="0" applyAlignment="0" applyProtection="0"/>
    <xf numFmtId="38" fontId="64" fillId="0" borderId="9">
      <alignment vertical="center"/>
    </xf>
    <xf numFmtId="40" fontId="64" fillId="0" borderId="9">
      <alignment vertical="center"/>
    </xf>
    <xf numFmtId="38" fontId="64" fillId="0" borderId="9">
      <alignment vertical="center"/>
    </xf>
    <xf numFmtId="38" fontId="50" fillId="0" borderId="0" applyFont="0" applyFill="0" applyBorder="0" applyAlignment="0" applyProtection="0"/>
    <xf numFmtId="40" fontId="64" fillId="0" borderId="24" applyBorder="0">
      <alignment vertical="center"/>
    </xf>
    <xf numFmtId="40" fontId="64" fillId="0" borderId="9">
      <alignment vertical="center"/>
    </xf>
    <xf numFmtId="40" fontId="64" fillId="0" borderId="9">
      <alignment vertical="center"/>
    </xf>
    <xf numFmtId="40" fontId="64" fillId="0" borderId="24" applyBorder="0">
      <alignment vertical="center"/>
    </xf>
    <xf numFmtId="40" fontId="64" fillId="0" borderId="24" applyBorder="0">
      <alignment vertical="center"/>
    </xf>
    <xf numFmtId="40" fontId="64" fillId="0" borderId="24" applyBorder="0">
      <alignment vertical="center"/>
    </xf>
    <xf numFmtId="40" fontId="50" fillId="0" borderId="0" applyFont="0" applyFill="0" applyBorder="0" applyAlignment="0" applyProtection="0"/>
    <xf numFmtId="226" fontId="115" fillId="0" borderId="0" applyFont="0" applyFill="0" applyBorder="0" applyAlignment="0" applyProtection="0"/>
    <xf numFmtId="228" fontId="115" fillId="0" borderId="0" applyFont="0" applyFill="0" applyBorder="0" applyAlignment="0" applyProtection="0"/>
    <xf numFmtId="37" fontId="18" fillId="0" borderId="0" applyFont="0" applyFill="0" applyBorder="0" applyAlignment="0" applyProtection="0"/>
    <xf numFmtId="176" fontId="18" fillId="0" borderId="0" applyFont="0" applyFill="0" applyBorder="0" applyAlignment="0" applyProtection="0">
      <alignment horizontal="left" wrapText="1"/>
    </xf>
    <xf numFmtId="176" fontId="18" fillId="0" borderId="0" applyFont="0" applyFill="0" applyBorder="0" applyAlignment="0" applyProtection="0">
      <alignment horizontal="left" wrapText="1"/>
    </xf>
    <xf numFmtId="176" fontId="18" fillId="0" borderId="0" applyFont="0" applyFill="0" applyBorder="0" applyAlignment="0" applyProtection="0">
      <alignment horizontal="left" wrapText="1"/>
    </xf>
    <xf numFmtId="176" fontId="18" fillId="0" borderId="0" applyFont="0" applyFill="0" applyBorder="0" applyAlignment="0" applyProtection="0">
      <alignment horizontal="left" wrapText="1"/>
    </xf>
    <xf numFmtId="176" fontId="18" fillId="0" borderId="0" applyFont="0" applyFill="0" applyBorder="0" applyAlignment="0" applyProtection="0">
      <alignment horizontal="left" wrapText="1"/>
    </xf>
    <xf numFmtId="176" fontId="18" fillId="0" borderId="0" applyFont="0" applyFill="0" applyBorder="0" applyAlignment="0" applyProtection="0">
      <alignment horizontal="left" wrapText="1"/>
    </xf>
    <xf numFmtId="176" fontId="46" fillId="11" borderId="3">
      <alignment horizontal="right"/>
    </xf>
    <xf numFmtId="185" fontId="41" fillId="0" borderId="0" applyFont="0" applyFill="0" applyBorder="0" applyAlignment="0" applyProtection="0"/>
    <xf numFmtId="237" fontId="50" fillId="0" borderId="0" applyFont="0" applyFill="0" applyBorder="0" applyAlignment="0" applyProtection="0"/>
    <xf numFmtId="237" fontId="50" fillId="0" borderId="0" applyFont="0" applyFill="0" applyBorder="0" applyAlignment="0" applyProtection="0"/>
    <xf numFmtId="225" fontId="115" fillId="0" borderId="0" applyFont="0" applyFill="0" applyBorder="0" applyAlignment="0" applyProtection="0"/>
    <xf numFmtId="227" fontId="115" fillId="0" borderId="0" applyFont="0" applyFill="0" applyBorder="0" applyAlignment="0" applyProtection="0"/>
    <xf numFmtId="176" fontId="94" fillId="0" borderId="0" applyFont="0" applyFill="0" applyBorder="0" applyAlignment="0" applyProtection="0"/>
    <xf numFmtId="183" fontId="18" fillId="7" borderId="0" applyFont="0" applyFill="0" applyBorder="0" applyAlignment="0" applyProtection="0"/>
    <xf numFmtId="39" fontId="18" fillId="7" borderId="0" applyFont="0" applyFill="0" applyBorder="0" applyAlignment="0" applyProtection="0"/>
    <xf numFmtId="174" fontId="18" fillId="0" borderId="0" applyNumberFormat="0" applyFill="0" applyBorder="0" applyAlignment="0" applyProtection="0"/>
    <xf numFmtId="172" fontId="116" fillId="0" borderId="2" applyBorder="0"/>
    <xf numFmtId="169" fontId="116" fillId="7" borderId="0" applyFill="0"/>
    <xf numFmtId="3" fontId="117" fillId="3" borderId="2">
      <alignment horizontal="center"/>
    </xf>
    <xf numFmtId="245" fontId="18" fillId="0" borderId="0" applyFont="0" applyFill="0" applyBorder="0" applyAlignment="0" applyProtection="0"/>
    <xf numFmtId="176" fontId="75" fillId="0" borderId="0" applyFont="0" applyFill="0" applyBorder="0" applyAlignment="0" applyProtection="0">
      <alignment horizontal="right"/>
    </xf>
    <xf numFmtId="176" fontId="18" fillId="0" borderId="0" applyFill="0" applyBorder="0" applyProtection="0">
      <alignment horizontal="right"/>
    </xf>
    <xf numFmtId="176" fontId="18" fillId="0" borderId="0" applyFill="0" applyBorder="0" applyProtection="0">
      <alignment horizontal="right"/>
    </xf>
    <xf numFmtId="176" fontId="75" fillId="0" borderId="0" applyFill="0" applyBorder="0" applyProtection="0">
      <alignment vertical="center"/>
    </xf>
    <xf numFmtId="233" fontId="69" fillId="0" borderId="0"/>
    <xf numFmtId="189" fontId="18" fillId="2" borderId="0" applyFont="0" applyBorder="0" applyAlignment="0" applyProtection="0">
      <alignment horizontal="right"/>
      <protection hidden="1"/>
    </xf>
    <xf numFmtId="40" fontId="2" fillId="0" borderId="0" applyFont="0" applyFill="0" applyBorder="0" applyAlignment="0" applyProtection="0">
      <alignment horizontal="center"/>
    </xf>
    <xf numFmtId="37" fontId="118" fillId="0" borderId="0"/>
    <xf numFmtId="187" fontId="18" fillId="0" borderId="0" applyNumberFormat="0" applyAlignment="0" applyProtection="0"/>
    <xf numFmtId="239" fontId="3" fillId="0" borderId="0" applyFont="0" applyFill="0" applyBorder="0" applyAlignment="0" applyProtection="0">
      <alignment horizontal="right"/>
    </xf>
    <xf numFmtId="198" fontId="119" fillId="0" borderId="0"/>
    <xf numFmtId="236" fontId="83" fillId="0" borderId="0"/>
    <xf numFmtId="38" fontId="3" fillId="0" borderId="0" applyFont="0" applyFill="0" applyBorder="0" applyAlignment="0"/>
    <xf numFmtId="187" fontId="18" fillId="0" borderId="0" applyFont="0" applyFill="0" applyBorder="0" applyAlignment="0"/>
    <xf numFmtId="40" fontId="3" fillId="0" borderId="0" applyFont="0" applyFill="0" applyBorder="0" applyAlignment="0"/>
    <xf numFmtId="207" fontId="3" fillId="0" borderId="0" applyFont="0" applyFill="0" applyBorder="0" applyAlignment="0"/>
    <xf numFmtId="176" fontId="218" fillId="0" borderId="0"/>
    <xf numFmtId="176" fontId="218" fillId="0" borderId="0"/>
    <xf numFmtId="176" fontId="120" fillId="0" borderId="0"/>
    <xf numFmtId="176" fontId="218" fillId="0" borderId="0"/>
    <xf numFmtId="176" fontId="21" fillId="0" borderId="0"/>
    <xf numFmtId="176" fontId="18" fillId="0" borderId="0"/>
    <xf numFmtId="176" fontId="18" fillId="0" borderId="0"/>
    <xf numFmtId="176" fontId="18" fillId="0" borderId="0"/>
    <xf numFmtId="176" fontId="18" fillId="0" borderId="0"/>
    <xf numFmtId="176" fontId="218" fillId="0" borderId="0"/>
    <xf numFmtId="176" fontId="50" fillId="0" borderId="0"/>
    <xf numFmtId="176" fontId="18" fillId="0" borderId="0"/>
    <xf numFmtId="176" fontId="18" fillId="0" borderId="0"/>
    <xf numFmtId="176" fontId="218" fillId="0" borderId="0"/>
    <xf numFmtId="176" fontId="18" fillId="0" borderId="0"/>
    <xf numFmtId="176" fontId="18" fillId="0" borderId="0"/>
    <xf numFmtId="176" fontId="218" fillId="0" borderId="0"/>
    <xf numFmtId="176" fontId="218" fillId="0" borderId="0"/>
    <xf numFmtId="176" fontId="218" fillId="0" borderId="0"/>
    <xf numFmtId="176" fontId="18" fillId="0" borderId="0"/>
    <xf numFmtId="176" fontId="218" fillId="0" borderId="0"/>
    <xf numFmtId="176" fontId="211" fillId="0" borderId="0"/>
    <xf numFmtId="176" fontId="218" fillId="0" borderId="0"/>
    <xf numFmtId="187" fontId="10" fillId="0" borderId="0" applyNumberFormat="0" applyFill="0" applyBorder="0" applyAlignment="0" applyProtection="0"/>
    <xf numFmtId="176" fontId="121" fillId="0" borderId="0"/>
    <xf numFmtId="176" fontId="122" fillId="0" borderId="0"/>
    <xf numFmtId="176" fontId="123" fillId="7" borderId="0"/>
    <xf numFmtId="215" fontId="18" fillId="0" borderId="0" applyFont="0" applyFill="0" applyBorder="0" applyAlignment="0" applyProtection="0"/>
    <xf numFmtId="258" fontId="86" fillId="15" borderId="0" applyFont="0" applyFill="0" applyBorder="0" applyAlignment="0"/>
    <xf numFmtId="193" fontId="3" fillId="0" borderId="0" applyFont="0" applyFill="0" applyBorder="0" applyAlignment="0" applyProtection="0">
      <alignment horizontal="right"/>
    </xf>
    <xf numFmtId="176" fontId="18" fillId="0" borderId="0"/>
    <xf numFmtId="176" fontId="50" fillId="0" borderId="0"/>
    <xf numFmtId="176" fontId="41" fillId="0" borderId="0"/>
    <xf numFmtId="176" fontId="18" fillId="0" borderId="0"/>
    <xf numFmtId="176" fontId="18" fillId="0" borderId="0"/>
    <xf numFmtId="176" fontId="41" fillId="0" borderId="0"/>
    <xf numFmtId="176" fontId="41" fillId="0" borderId="0"/>
    <xf numFmtId="187" fontId="18" fillId="0" borderId="0">
      <alignment horizontal="right"/>
    </xf>
    <xf numFmtId="176" fontId="75" fillId="0" borderId="0" applyFill="0" applyBorder="0" applyProtection="0">
      <alignment vertical="center"/>
    </xf>
    <xf numFmtId="40" fontId="10" fillId="0" borderId="0">
      <alignment horizontal="left"/>
    </xf>
    <xf numFmtId="176" fontId="50" fillId="0" borderId="0"/>
    <xf numFmtId="176" fontId="83" fillId="0" borderId="0"/>
    <xf numFmtId="176" fontId="124" fillId="0" borderId="0" applyFill="0" applyBorder="0" applyAlignment="0" applyProtection="0"/>
    <xf numFmtId="187" fontId="3" fillId="0" borderId="0"/>
    <xf numFmtId="219" fontId="3" fillId="0" borderId="0" applyFont="0" applyFill="0" applyBorder="0" applyAlignment="0" applyProtection="0"/>
    <xf numFmtId="243" fontId="3" fillId="0" borderId="0" applyFont="0" applyFill="0" applyBorder="0" applyAlignment="0" applyProtection="0"/>
    <xf numFmtId="210" fontId="18" fillId="0" borderId="0" applyFont="0" applyFill="0" applyBorder="0" applyAlignment="0" applyProtection="0"/>
    <xf numFmtId="176" fontId="3" fillId="0" borderId="0"/>
    <xf numFmtId="176" fontId="9" fillId="0" borderId="0">
      <protection locked="0"/>
    </xf>
    <xf numFmtId="1" fontId="10" fillId="0" borderId="0" applyFont="0" applyFill="0" applyBorder="0" applyAlignment="0" applyProtection="0">
      <protection locked="0"/>
    </xf>
    <xf numFmtId="176" fontId="82" fillId="0" borderId="0" applyNumberFormat="0" applyFill="0" applyBorder="0" applyAlignment="0" applyProtection="0"/>
    <xf numFmtId="176" fontId="10" fillId="0" borderId="0" applyNumberFormat="0" applyFill="0" applyBorder="0" applyAlignment="0" applyProtection="0"/>
    <xf numFmtId="176" fontId="18" fillId="0" borderId="0" applyNumberFormat="0" applyFill="0" applyBorder="0" applyAlignment="0" applyProtection="0"/>
    <xf numFmtId="176" fontId="18" fillId="0" borderId="0" applyNumberFormat="0" applyFill="0" applyBorder="0" applyAlignment="0" applyProtection="0"/>
    <xf numFmtId="176" fontId="125" fillId="0" borderId="0" applyNumberFormat="0" applyFill="0" applyBorder="0" applyAlignment="0" applyProtection="0"/>
    <xf numFmtId="176" fontId="18" fillId="0" borderId="0" applyNumberFormat="0" applyFill="0" applyBorder="0" applyAlignment="0" applyProtection="0"/>
    <xf numFmtId="192" fontId="18" fillId="0" borderId="0" applyFont="0" applyFill="0" applyBorder="0" applyAlignment="0" applyProtection="0"/>
    <xf numFmtId="176" fontId="126" fillId="0" borderId="0" applyNumberFormat="0" applyAlignment="0">
      <alignment vertical="top"/>
    </xf>
    <xf numFmtId="40" fontId="127" fillId="0" borderId="0" applyFont="0" applyFill="0" applyBorder="0" applyAlignment="0" applyProtection="0"/>
    <xf numFmtId="38" fontId="127" fillId="0" borderId="0" applyFont="0" applyFill="0" applyBorder="0" applyAlignment="0" applyProtection="0"/>
    <xf numFmtId="40" fontId="53" fillId="7" borderId="0">
      <alignment horizontal="right"/>
    </xf>
    <xf numFmtId="176" fontId="128" fillId="5" borderId="0">
      <alignment horizontal="center"/>
    </xf>
    <xf numFmtId="176" fontId="52" fillId="7" borderId="0">
      <alignment horizontal="left"/>
    </xf>
    <xf numFmtId="176" fontId="129" fillId="0" borderId="0" applyBorder="0">
      <alignment horizontal="centerContinuous"/>
    </xf>
    <xf numFmtId="176" fontId="130" fillId="0" borderId="0" applyBorder="0">
      <alignment horizontal="centerContinuous"/>
    </xf>
    <xf numFmtId="37" fontId="3" fillId="0" borderId="0" applyBorder="0">
      <protection locked="0"/>
    </xf>
    <xf numFmtId="176" fontId="131" fillId="0" borderId="0" applyFill="0" applyBorder="0" applyProtection="0">
      <alignment horizontal="left"/>
    </xf>
    <xf numFmtId="176" fontId="132" fillId="0" borderId="0" applyFill="0" applyBorder="0" applyProtection="0">
      <alignment horizontal="left"/>
    </xf>
    <xf numFmtId="1" fontId="133" fillId="0" borderId="0" applyProtection="0">
      <alignment horizontal="right" vertical="center"/>
    </xf>
    <xf numFmtId="176" fontId="83" fillId="0" borderId="0" applyNumberFormat="0" applyFill="0" applyBorder="0" applyAlignment="0" applyProtection="0"/>
    <xf numFmtId="176" fontId="134" fillId="0" borderId="25" applyNumberFormat="0" applyAlignment="0" applyProtection="0"/>
    <xf numFmtId="176" fontId="64" fillId="15" borderId="0" applyNumberFormat="0" applyFont="0" applyBorder="0" applyAlignment="0" applyProtection="0"/>
    <xf numFmtId="176" fontId="3" fillId="16" borderId="26" applyNumberFormat="0" applyFont="0" applyBorder="0" applyAlignment="0" applyProtection="0">
      <alignment horizontal="center"/>
    </xf>
    <xf numFmtId="176" fontId="3" fillId="4" borderId="26" applyNumberFormat="0" applyFont="0" applyBorder="0" applyAlignment="0" applyProtection="0">
      <alignment horizontal="center"/>
    </xf>
    <xf numFmtId="176" fontId="64" fillId="0" borderId="27" applyNumberFormat="0" applyAlignment="0" applyProtection="0"/>
    <xf numFmtId="176" fontId="64" fillId="0" borderId="28" applyNumberFormat="0" applyAlignment="0" applyProtection="0"/>
    <xf numFmtId="176" fontId="134" fillId="0" borderId="29" applyNumberFormat="0" applyAlignment="0" applyProtection="0"/>
    <xf numFmtId="188" fontId="3" fillId="0" borderId="0"/>
    <xf numFmtId="176" fontId="18" fillId="0" borderId="0" applyFont="0" applyFill="0" applyBorder="0" applyAlignment="0" applyProtection="0"/>
    <xf numFmtId="176" fontId="92" fillId="11" borderId="0"/>
    <xf numFmtId="195" fontId="135" fillId="0" borderId="0" applyFont="0" applyFill="0" applyBorder="0" applyAlignment="0" applyProtection="0"/>
    <xf numFmtId="176" fontId="83" fillId="0" borderId="0"/>
    <xf numFmtId="14" fontId="59" fillId="0" borderId="0">
      <alignment horizontal="center" wrapText="1"/>
      <protection locked="0"/>
    </xf>
    <xf numFmtId="176" fontId="31" fillId="0" borderId="0"/>
    <xf numFmtId="9" fontId="50" fillId="0" borderId="13" applyBorder="0"/>
    <xf numFmtId="10" fontId="3" fillId="0" borderId="0"/>
    <xf numFmtId="196" fontId="18" fillId="0" borderId="0" applyFont="0" applyFill="0" applyBorder="0" applyAlignment="0"/>
    <xf numFmtId="255" fontId="22" fillId="0" borderId="0" applyFont="0" applyFill="0" applyBorder="0" applyAlignment="0" applyProtection="0"/>
    <xf numFmtId="197" fontId="18" fillId="0" borderId="0" applyFont="0" applyFill="0" applyBorder="0" applyAlignment="0"/>
    <xf numFmtId="240" fontId="16" fillId="0" borderId="14" applyFill="0" applyBorder="0" applyAlignment="0" applyProtection="0">
      <alignment horizontal="center"/>
    </xf>
    <xf numFmtId="240" fontId="16" fillId="0" borderId="0" applyFill="0" applyBorder="0" applyAlignment="0" applyProtection="0"/>
    <xf numFmtId="260" fontId="86" fillId="0" borderId="0" applyFont="0" applyFill="0" applyBorder="0" applyAlignment="0"/>
    <xf numFmtId="240" fontId="16" fillId="0" borderId="14" applyFill="0" applyBorder="0" applyAlignment="0" applyProtection="0">
      <alignment horizontal="center"/>
    </xf>
    <xf numFmtId="197" fontId="18" fillId="0" borderId="0" applyFont="0" applyFill="0" applyBorder="0" applyAlignment="0"/>
    <xf numFmtId="240" fontId="16" fillId="0" borderId="14" applyFill="0" applyBorder="0" applyAlignment="0" applyProtection="0">
      <alignment horizontal="center"/>
    </xf>
    <xf numFmtId="169" fontId="18" fillId="0" borderId="0" applyFont="0" applyFill="0" applyBorder="0" applyAlignment="0" applyProtection="0"/>
    <xf numFmtId="240" fontId="16" fillId="0" borderId="14" applyFill="0" applyBorder="0" applyAlignment="0" applyProtection="0">
      <alignment horizontal="center"/>
    </xf>
    <xf numFmtId="238" fontId="3" fillId="0" borderId="0" applyFont="0" applyFill="0" applyBorder="0" applyAlignment="0"/>
    <xf numFmtId="261" fontId="3" fillId="0" borderId="14" applyFill="0" applyBorder="0" applyAlignment="0" applyProtection="0">
      <alignment horizontal="center"/>
    </xf>
    <xf numFmtId="10" fontId="18" fillId="0" borderId="0" applyFont="0" applyFill="0" applyBorder="0" applyAlignment="0" applyProtection="0"/>
    <xf numFmtId="221" fontId="16" fillId="0" borderId="0" applyFill="0" applyBorder="0" applyAlignment="0" applyProtection="0"/>
    <xf numFmtId="241" fontId="16" fillId="17" borderId="0" applyFont="0" applyFill="0" applyBorder="0" applyAlignment="0" applyProtection="0"/>
    <xf numFmtId="206" fontId="18" fillId="0" borderId="0" applyFont="0" applyFill="0" applyBorder="0" applyProtection="0">
      <alignment horizontal="right"/>
    </xf>
    <xf numFmtId="176" fontId="18" fillId="0" borderId="0" applyFont="0" applyFill="0" applyBorder="0" applyProtection="0">
      <alignment horizontal="right"/>
    </xf>
    <xf numFmtId="169" fontId="42" fillId="8" borderId="30"/>
    <xf numFmtId="169" fontId="18" fillId="0" borderId="0" applyFont="0" applyFill="0" applyBorder="0" applyAlignment="0" applyProtection="0"/>
    <xf numFmtId="9" fontId="50" fillId="0" borderId="13" applyBorder="0"/>
    <xf numFmtId="248" fontId="135" fillId="0" borderId="0" applyFont="0" applyFill="0" applyBorder="0" applyAlignment="0" applyProtection="0"/>
    <xf numFmtId="176" fontId="59" fillId="0" borderId="0"/>
    <xf numFmtId="176" fontId="136" fillId="0" borderId="0"/>
    <xf numFmtId="176" fontId="137" fillId="0" borderId="0"/>
    <xf numFmtId="259" fontId="86" fillId="7" borderId="0" applyFont="0" applyFill="0" applyBorder="0" applyAlignment="0" applyProtection="0"/>
    <xf numFmtId="251" fontId="59" fillId="0" borderId="0" applyFont="0" applyFill="0" applyBorder="0" applyAlignment="0" applyProtection="0"/>
    <xf numFmtId="213" fontId="18" fillId="0" borderId="0" applyFont="0" applyFill="0" applyBorder="0" applyAlignment="0" applyProtection="0"/>
    <xf numFmtId="176" fontId="82" fillId="0" borderId="0" applyFill="0" applyBorder="0">
      <alignment horizontal="right"/>
    </xf>
    <xf numFmtId="176" fontId="3" fillId="18" borderId="0" applyNumberFormat="0" applyFont="0" applyBorder="0" applyAlignment="0" applyProtection="0"/>
    <xf numFmtId="38" fontId="138" fillId="0" borderId="0" applyNumberFormat="0" applyFill="0" applyBorder="0" applyAlignment="0" applyProtection="0"/>
    <xf numFmtId="187" fontId="59" fillId="0" borderId="0" applyFont="0" applyFill="0" applyBorder="0" applyAlignment="0" applyProtection="0">
      <protection locked="0"/>
    </xf>
    <xf numFmtId="9" fontId="1" fillId="0" borderId="0" applyFont="0" applyFill="0" applyBorder="0" applyAlignment="0" applyProtection="0"/>
    <xf numFmtId="9" fontId="18" fillId="0" borderId="0" applyFont="0" applyFill="0" applyBorder="0" applyAlignment="0" applyProtection="0"/>
    <xf numFmtId="9" fontId="50"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218" fillId="0" borderId="0" applyFont="0" applyFill="0" applyBorder="0" applyAlignment="0" applyProtection="0"/>
    <xf numFmtId="185" fontId="31" fillId="0" borderId="0" applyFill="0" applyBorder="0" applyAlignment="0"/>
    <xf numFmtId="174" fontId="31" fillId="0" borderId="0" applyFill="0" applyBorder="0" applyAlignment="0"/>
    <xf numFmtId="185" fontId="31" fillId="0" borderId="0" applyFill="0" applyBorder="0" applyAlignment="0"/>
    <xf numFmtId="252" fontId="3" fillId="0" borderId="0" applyFill="0" applyBorder="0" applyAlignment="0"/>
    <xf numFmtId="174" fontId="31" fillId="0" borderId="0" applyFill="0" applyBorder="0" applyAlignment="0"/>
    <xf numFmtId="38" fontId="59" fillId="0" borderId="0" applyFont="0" applyFill="0" applyBorder="0" applyAlignment="0" applyProtection="0"/>
    <xf numFmtId="176" fontId="46" fillId="11" borderId="0">
      <alignment horizontal="right"/>
    </xf>
    <xf numFmtId="223" fontId="139" fillId="0" borderId="0"/>
    <xf numFmtId="176" fontId="10" fillId="2" borderId="17" applyNumberFormat="0" applyFont="0" applyAlignment="0" applyProtection="0"/>
    <xf numFmtId="176" fontId="3" fillId="2" borderId="0" applyNumberFormat="0" applyFont="0" applyBorder="0" applyAlignment="0" applyProtection="0">
      <alignment horizontal="center"/>
      <protection locked="0"/>
    </xf>
    <xf numFmtId="220" fontId="10" fillId="0" borderId="0" applyFill="0" applyBorder="0" applyProtection="0">
      <alignment horizontal="right"/>
    </xf>
    <xf numFmtId="265" fontId="18" fillId="0" borderId="0" applyNumberFormat="0" applyAlignment="0">
      <alignment horizontal="left"/>
    </xf>
    <xf numFmtId="176" fontId="50" fillId="0" borderId="0" applyNumberFormat="0" applyFont="0" applyFill="0" applyBorder="0" applyAlignment="0" applyProtection="0">
      <alignment horizontal="left"/>
    </xf>
    <xf numFmtId="15" fontId="50" fillId="0" borderId="0" applyFont="0" applyFill="0" applyBorder="0" applyAlignment="0" applyProtection="0"/>
    <xf numFmtId="4" fontId="50" fillId="0" borderId="0" applyFont="0" applyFill="0" applyBorder="0" applyAlignment="0" applyProtection="0"/>
    <xf numFmtId="176" fontId="13" fillId="0" borderId="5">
      <alignment horizontal="center"/>
    </xf>
    <xf numFmtId="3" fontId="50" fillId="0" borderId="0" applyFont="0" applyFill="0" applyBorder="0" applyAlignment="0" applyProtection="0"/>
    <xf numFmtId="176" fontId="50" fillId="19" borderId="0" applyNumberFormat="0" applyFont="0" applyBorder="0" applyAlignment="0" applyProtection="0"/>
    <xf numFmtId="176" fontId="46" fillId="2" borderId="0"/>
    <xf numFmtId="176" fontId="46" fillId="2" borderId="0"/>
    <xf numFmtId="176" fontId="46" fillId="2" borderId="0"/>
    <xf numFmtId="176" fontId="46" fillId="2" borderId="0"/>
    <xf numFmtId="176" fontId="46" fillId="2" borderId="0"/>
    <xf numFmtId="176" fontId="83" fillId="2" borderId="0"/>
    <xf numFmtId="176" fontId="46" fillId="2" borderId="0"/>
    <xf numFmtId="176" fontId="46" fillId="2" borderId="0"/>
    <xf numFmtId="176" fontId="46" fillId="2" borderId="0"/>
    <xf numFmtId="176" fontId="46" fillId="2" borderId="0"/>
    <xf numFmtId="176" fontId="46" fillId="2" borderId="0"/>
    <xf numFmtId="176" fontId="46" fillId="2" borderId="0"/>
    <xf numFmtId="176" fontId="46" fillId="2" borderId="0"/>
    <xf numFmtId="176" fontId="83" fillId="2" borderId="0"/>
    <xf numFmtId="176" fontId="46" fillId="2" borderId="0"/>
    <xf numFmtId="176" fontId="46" fillId="2" borderId="0"/>
    <xf numFmtId="176" fontId="46" fillId="2" borderId="0"/>
    <xf numFmtId="176" fontId="46" fillId="2" borderId="0"/>
    <xf numFmtId="176" fontId="46" fillId="2" borderId="0"/>
    <xf numFmtId="176" fontId="46" fillId="2" borderId="0"/>
    <xf numFmtId="176" fontId="46" fillId="2" borderId="0"/>
    <xf numFmtId="176" fontId="83" fillId="2" borderId="0"/>
    <xf numFmtId="176" fontId="83" fillId="2" borderId="0"/>
    <xf numFmtId="176" fontId="46" fillId="2" borderId="0"/>
    <xf numFmtId="176" fontId="46" fillId="2" borderId="0"/>
    <xf numFmtId="176" fontId="46" fillId="2" borderId="0"/>
    <xf numFmtId="176" fontId="46" fillId="2" borderId="0"/>
    <xf numFmtId="176" fontId="46" fillId="2" borderId="0"/>
    <xf numFmtId="176" fontId="83" fillId="2" borderId="0"/>
    <xf numFmtId="176" fontId="46" fillId="2" borderId="0"/>
    <xf numFmtId="176" fontId="46" fillId="2" borderId="0"/>
    <xf numFmtId="176" fontId="46" fillId="2" borderId="0"/>
    <xf numFmtId="176" fontId="46" fillId="2" borderId="0"/>
    <xf numFmtId="176" fontId="46" fillId="2" borderId="0"/>
    <xf numFmtId="176" fontId="46" fillId="2" borderId="0"/>
    <xf numFmtId="176" fontId="46" fillId="2" borderId="0"/>
    <xf numFmtId="176" fontId="83" fillId="2" borderId="0"/>
    <xf numFmtId="176" fontId="46" fillId="2" borderId="0"/>
    <xf numFmtId="176" fontId="46" fillId="2" borderId="0"/>
    <xf numFmtId="176" fontId="46" fillId="2" borderId="0"/>
    <xf numFmtId="176" fontId="46" fillId="2" borderId="0"/>
    <xf numFmtId="176" fontId="46" fillId="2" borderId="0"/>
    <xf numFmtId="176" fontId="46" fillId="2" borderId="0"/>
    <xf numFmtId="176" fontId="46" fillId="2" borderId="0"/>
    <xf numFmtId="176" fontId="83" fillId="2" borderId="0"/>
    <xf numFmtId="176" fontId="83" fillId="2" borderId="0"/>
    <xf numFmtId="176" fontId="46" fillId="2" borderId="0"/>
    <xf numFmtId="176" fontId="46" fillId="2" borderId="0"/>
    <xf numFmtId="176" fontId="46" fillId="2" borderId="0"/>
    <xf numFmtId="176" fontId="46" fillId="2" borderId="0"/>
    <xf numFmtId="176" fontId="46" fillId="2" borderId="0"/>
    <xf numFmtId="176" fontId="46" fillId="2" borderId="0"/>
    <xf numFmtId="176" fontId="46" fillId="2" borderId="0"/>
    <xf numFmtId="176" fontId="46" fillId="2" borderId="0"/>
    <xf numFmtId="176" fontId="46" fillId="2" borderId="0"/>
    <xf numFmtId="176" fontId="46" fillId="2" borderId="0"/>
    <xf numFmtId="176" fontId="46" fillId="2" borderId="0"/>
    <xf numFmtId="176" fontId="83" fillId="2" borderId="0"/>
    <xf numFmtId="176" fontId="83" fillId="2" borderId="0"/>
    <xf numFmtId="176" fontId="83" fillId="2" borderId="0"/>
    <xf numFmtId="176" fontId="83" fillId="2" borderId="0"/>
    <xf numFmtId="176" fontId="46" fillId="2" borderId="0"/>
    <xf numFmtId="176" fontId="46" fillId="2" borderId="0"/>
    <xf numFmtId="176" fontId="46" fillId="2" borderId="0"/>
    <xf numFmtId="176" fontId="46" fillId="2" borderId="0"/>
    <xf numFmtId="176" fontId="46" fillId="2" borderId="0"/>
    <xf numFmtId="176" fontId="46" fillId="2" borderId="0"/>
    <xf numFmtId="176" fontId="46" fillId="2" borderId="0"/>
    <xf numFmtId="176" fontId="46" fillId="2" borderId="0"/>
    <xf numFmtId="176" fontId="46" fillId="2" borderId="0"/>
    <xf numFmtId="176" fontId="46" fillId="2" borderId="0"/>
    <xf numFmtId="176" fontId="46" fillId="2" borderId="0"/>
    <xf numFmtId="176" fontId="46" fillId="2" borderId="0"/>
    <xf numFmtId="176" fontId="46" fillId="2" borderId="0"/>
    <xf numFmtId="176" fontId="46" fillId="2" borderId="0"/>
    <xf numFmtId="176" fontId="83" fillId="2" borderId="0"/>
    <xf numFmtId="176" fontId="83" fillId="2" borderId="0"/>
    <xf numFmtId="176" fontId="83" fillId="2" borderId="0"/>
    <xf numFmtId="176" fontId="83" fillId="2" borderId="0"/>
    <xf numFmtId="176" fontId="140" fillId="0" borderId="0">
      <alignment horizontal="center"/>
    </xf>
    <xf numFmtId="176" fontId="44" fillId="0" borderId="2">
      <alignment horizontal="centerContinuous"/>
    </xf>
    <xf numFmtId="176" fontId="83" fillId="2" borderId="0">
      <alignment horizontal="right"/>
    </xf>
    <xf numFmtId="176" fontId="141" fillId="0" borderId="17">
      <alignment horizontal="center" vertical="center"/>
    </xf>
    <xf numFmtId="176" fontId="142" fillId="0" borderId="31" applyBorder="0">
      <alignment vertical="top"/>
      <protection locked="0"/>
    </xf>
    <xf numFmtId="176" fontId="64" fillId="0" borderId="0">
      <alignment vertical="top"/>
    </xf>
    <xf numFmtId="174" fontId="64" fillId="0" borderId="0">
      <alignment vertical="top"/>
    </xf>
    <xf numFmtId="176" fontId="64" fillId="0" borderId="0">
      <alignment vertical="top"/>
    </xf>
    <xf numFmtId="176" fontId="64" fillId="0" borderId="0">
      <alignment vertical="top"/>
    </xf>
    <xf numFmtId="174" fontId="64" fillId="0" borderId="0">
      <alignment vertical="top"/>
    </xf>
    <xf numFmtId="174" fontId="64" fillId="0" borderId="0">
      <alignment vertical="top"/>
    </xf>
    <xf numFmtId="174" fontId="64" fillId="0" borderId="0">
      <alignment vertical="top"/>
    </xf>
    <xf numFmtId="174" fontId="64" fillId="0" borderId="0">
      <alignment vertical="top"/>
    </xf>
    <xf numFmtId="176" fontId="64" fillId="0" borderId="0">
      <alignment vertical="top"/>
    </xf>
    <xf numFmtId="176" fontId="45" fillId="0" borderId="0">
      <alignment horizontal="center"/>
    </xf>
    <xf numFmtId="174" fontId="64" fillId="0" borderId="0">
      <alignment vertical="top"/>
    </xf>
    <xf numFmtId="176" fontId="64" fillId="0" borderId="0">
      <alignment vertical="top"/>
    </xf>
    <xf numFmtId="176" fontId="83" fillId="2" borderId="3">
      <alignment horizontal="right"/>
    </xf>
    <xf numFmtId="190" fontId="143" fillId="0" borderId="0"/>
    <xf numFmtId="198" fontId="18" fillId="0" borderId="0" applyFont="0" applyFill="0" applyBorder="0" applyProtection="0">
      <alignment horizontal="right"/>
    </xf>
    <xf numFmtId="217" fontId="18" fillId="0" borderId="0" applyFont="0" applyFill="0" applyBorder="0" applyProtection="0">
      <alignment horizontal="right"/>
    </xf>
    <xf numFmtId="176" fontId="75" fillId="0" borderId="0" applyFont="0" applyFill="0" applyBorder="0" applyProtection="0">
      <alignment horizontal="right"/>
    </xf>
    <xf numFmtId="14" fontId="144" fillId="8" borderId="32"/>
    <xf numFmtId="187" fontId="18" fillId="0" borderId="0" applyNumberFormat="0" applyFill="0" applyBorder="0" applyAlignment="0" applyProtection="0">
      <alignment horizontal="left"/>
    </xf>
    <xf numFmtId="183" fontId="145" fillId="7" borderId="0">
      <alignment horizontal="right"/>
    </xf>
    <xf numFmtId="205" fontId="146" fillId="20" borderId="0" applyFont="0" applyFill="0"/>
    <xf numFmtId="167" fontId="147" fillId="7" borderId="0">
      <alignment horizontal="right"/>
    </xf>
    <xf numFmtId="181" fontId="148" fillId="7" borderId="0"/>
    <xf numFmtId="224" fontId="115" fillId="0" borderId="0" applyNumberFormat="0" applyFill="0" applyBorder="0" applyAlignment="0" applyProtection="0">
      <alignment horizontal="left"/>
    </xf>
    <xf numFmtId="37" fontId="149" fillId="0" borderId="0" applyNumberFormat="0" applyFill="0" applyBorder="0" applyAlignment="0" applyProtection="0"/>
    <xf numFmtId="175" fontId="18" fillId="0" borderId="0" applyFont="0" applyFill="0" applyBorder="0" applyAlignment="0" applyProtection="0"/>
    <xf numFmtId="176" fontId="18" fillId="0" borderId="33" applyNumberFormat="0" applyFont="0" applyFill="0" applyAlignment="0" applyProtection="0"/>
    <xf numFmtId="176" fontId="18" fillId="0" borderId="34" applyNumberFormat="0" applyFont="0" applyFill="0" applyAlignment="0" applyProtection="0"/>
    <xf numFmtId="176" fontId="18" fillId="0" borderId="8" applyNumberFormat="0" applyFont="0" applyFill="0" applyAlignment="0" applyProtection="0"/>
    <xf numFmtId="176" fontId="18" fillId="0" borderId="35" applyNumberFormat="0" applyFont="0" applyFill="0" applyAlignment="0" applyProtection="0"/>
    <xf numFmtId="176" fontId="18" fillId="0" borderId="36" applyNumberFormat="0" applyFont="0" applyFill="0" applyAlignment="0" applyProtection="0"/>
    <xf numFmtId="176" fontId="18" fillId="9" borderId="0" applyNumberFormat="0" applyFont="0" applyBorder="0" applyAlignment="0" applyProtection="0"/>
    <xf numFmtId="176" fontId="18" fillId="0" borderId="37" applyNumberFormat="0" applyFont="0" applyFill="0" applyAlignment="0" applyProtection="0"/>
    <xf numFmtId="176" fontId="18" fillId="0" borderId="38" applyNumberFormat="0" applyFont="0" applyFill="0" applyAlignment="0" applyProtection="0"/>
    <xf numFmtId="46" fontId="18" fillId="0" borderId="0" applyFont="0" applyFill="0" applyBorder="0" applyAlignment="0" applyProtection="0"/>
    <xf numFmtId="176" fontId="53" fillId="0" borderId="0" applyNumberFormat="0" applyFill="0" applyBorder="0" applyAlignment="0" applyProtection="0"/>
    <xf numFmtId="176" fontId="18" fillId="0" borderId="39" applyNumberFormat="0" applyFont="0" applyFill="0" applyAlignment="0" applyProtection="0"/>
    <xf numFmtId="176" fontId="18" fillId="0" borderId="40" applyNumberFormat="0" applyFont="0" applyFill="0" applyAlignment="0" applyProtection="0"/>
    <xf numFmtId="176" fontId="18" fillId="0" borderId="30" applyNumberFormat="0" applyFont="0" applyFill="0" applyAlignment="0" applyProtection="0"/>
    <xf numFmtId="176" fontId="18" fillId="0" borderId="41" applyNumberFormat="0" applyFont="0" applyFill="0" applyAlignment="0" applyProtection="0"/>
    <xf numFmtId="176" fontId="18" fillId="0" borderId="30" applyNumberFormat="0" applyFont="0" applyFill="0" applyAlignment="0" applyProtection="0"/>
    <xf numFmtId="176" fontId="18" fillId="0" borderId="0" applyNumberFormat="0" applyFont="0" applyFill="0" applyBorder="0" applyProtection="0">
      <alignment horizontal="center"/>
    </xf>
    <xf numFmtId="176" fontId="150" fillId="0" borderId="0" applyNumberFormat="0" applyFill="0" applyBorder="0" applyAlignment="0" applyProtection="0"/>
    <xf numFmtId="176" fontId="25" fillId="0" borderId="0" applyNumberFormat="0" applyFill="0" applyBorder="0" applyAlignment="0" applyProtection="0"/>
    <xf numFmtId="176" fontId="23" fillId="0" borderId="0" applyNumberFormat="0" applyFill="0" applyBorder="0" applyProtection="0">
      <alignment horizontal="left"/>
    </xf>
    <xf numFmtId="176" fontId="18" fillId="9" borderId="0" applyNumberFormat="0" applyFont="0" applyBorder="0" applyAlignment="0" applyProtection="0"/>
    <xf numFmtId="176" fontId="151" fillId="0" borderId="0" applyNumberFormat="0" applyFill="0" applyBorder="0" applyAlignment="0" applyProtection="0"/>
    <xf numFmtId="176" fontId="53" fillId="0" borderId="0" applyNumberFormat="0" applyFill="0" applyBorder="0" applyAlignment="0" applyProtection="0"/>
    <xf numFmtId="176" fontId="18" fillId="0" borderId="42" applyNumberFormat="0" applyFont="0" applyFill="0" applyAlignment="0" applyProtection="0"/>
    <xf numFmtId="176" fontId="18" fillId="0" borderId="43" applyNumberFormat="0" applyFont="0" applyFill="0" applyAlignment="0" applyProtection="0"/>
    <xf numFmtId="202" fontId="18" fillId="0" borderId="0" applyFont="0" applyFill="0" applyBorder="0" applyAlignment="0" applyProtection="0"/>
    <xf numFmtId="176" fontId="18" fillId="0" borderId="44" applyNumberFormat="0" applyFont="0" applyFill="0" applyAlignment="0" applyProtection="0"/>
    <xf numFmtId="176" fontId="18" fillId="0" borderId="45" applyNumberFormat="0" applyFont="0" applyFill="0" applyAlignment="0" applyProtection="0"/>
    <xf numFmtId="176" fontId="18" fillId="0" borderId="46" applyNumberFormat="0" applyFont="0" applyFill="0" applyAlignment="0" applyProtection="0"/>
    <xf numFmtId="176" fontId="18" fillId="0" borderId="7" applyNumberFormat="0" applyFont="0" applyFill="0" applyAlignment="0" applyProtection="0"/>
    <xf numFmtId="176" fontId="18" fillId="0" borderId="11" applyNumberFormat="0" applyFont="0" applyFill="0" applyAlignment="0" applyProtection="0"/>
    <xf numFmtId="38" fontId="82" fillId="0" borderId="0"/>
    <xf numFmtId="176" fontId="3" fillId="0" borderId="0">
      <alignment horizontal="right"/>
    </xf>
    <xf numFmtId="176" fontId="10" fillId="0" borderId="0" applyNumberFormat="0" applyFill="0" applyBorder="0"/>
    <xf numFmtId="176" fontId="152" fillId="0" borderId="47">
      <alignment vertical="center"/>
    </xf>
    <xf numFmtId="176" fontId="38" fillId="0" borderId="0" applyFill="0" applyBorder="0" applyProtection="0">
      <alignment horizontal="left"/>
    </xf>
    <xf numFmtId="38" fontId="50" fillId="0" borderId="0" applyFont="0" applyFill="0" applyBorder="0" applyAlignment="0" applyProtection="0"/>
    <xf numFmtId="43" fontId="218" fillId="0" borderId="0" applyFont="0" applyFill="0" applyBorder="0" applyAlignment="0" applyProtection="0"/>
    <xf numFmtId="165" fontId="18" fillId="0" borderId="0" applyFont="0" applyFill="0" applyBorder="0" applyAlignment="0" applyProtection="0"/>
    <xf numFmtId="43" fontId="2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21"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218" fillId="0" borderId="0" applyFont="0" applyFill="0" applyBorder="0" applyAlignment="0" applyProtection="0"/>
    <xf numFmtId="40" fontId="50"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76" fontId="18" fillId="0" borderId="0"/>
    <xf numFmtId="176" fontId="18" fillId="0" borderId="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76" fontId="64" fillId="21" borderId="0" applyNumberFormat="0" applyFont="0" applyBorder="0" applyAlignment="0" applyProtection="0"/>
    <xf numFmtId="174" fontId="153" fillId="22" borderId="0" applyNumberFormat="0" applyBorder="0" applyAlignment="0" applyProtection="0"/>
    <xf numFmtId="187" fontId="59" fillId="0" borderId="0" applyFont="0" applyFill="0" applyBorder="0" applyAlignment="0" applyProtection="0"/>
    <xf numFmtId="176" fontId="132" fillId="0" borderId="0" applyNumberFormat="0" applyFill="0" applyBorder="0" applyAlignment="0" applyProtection="0">
      <alignment horizontal="left"/>
    </xf>
    <xf numFmtId="3" fontId="54" fillId="23" borderId="0">
      <alignment horizontal="left"/>
    </xf>
    <xf numFmtId="176" fontId="18" fillId="24" borderId="0"/>
    <xf numFmtId="176" fontId="24" fillId="25" borderId="48">
      <alignment horizontal="center" wrapText="1"/>
    </xf>
    <xf numFmtId="176" fontId="154" fillId="0" borderId="49"/>
    <xf numFmtId="12" fontId="18" fillId="0" borderId="0" applyFont="0" applyFill="0" applyBorder="0" applyProtection="0">
      <alignment horizontal="right"/>
    </xf>
    <xf numFmtId="218" fontId="18" fillId="11" borderId="0" applyFont="0" applyFill="0" applyBorder="0" applyProtection="0">
      <alignment horizontal="right"/>
    </xf>
    <xf numFmtId="187" fontId="3" fillId="15" borderId="0" applyNumberFormat="0" applyFont="0" applyBorder="0" applyAlignment="0">
      <protection hidden="1"/>
    </xf>
    <xf numFmtId="176" fontId="155" fillId="0" borderId="0"/>
    <xf numFmtId="267" fontId="3" fillId="0" borderId="0" applyFill="0" applyBorder="0" applyProtection="0">
      <alignment horizontal="right" wrapText="1"/>
    </xf>
    <xf numFmtId="176" fontId="156" fillId="7" borderId="0" applyNumberFormat="0" applyProtection="0">
      <alignment horizontal="center" vertical="center"/>
    </xf>
    <xf numFmtId="4" fontId="53" fillId="7" borderId="0" applyProtection="0">
      <alignment horizontal="center" vertical="center"/>
    </xf>
    <xf numFmtId="176" fontId="157" fillId="7" borderId="0" applyNumberFormat="0" applyProtection="0">
      <alignment horizontal="center" vertical="center"/>
    </xf>
    <xf numFmtId="4" fontId="158" fillId="7" borderId="0" applyProtection="0">
      <alignment horizontal="center" vertical="center"/>
    </xf>
    <xf numFmtId="176" fontId="159" fillId="21" borderId="0" applyNumberFormat="0" applyProtection="0">
      <alignment horizontal="center" vertical="center"/>
    </xf>
    <xf numFmtId="4" fontId="160" fillId="21" borderId="0" applyProtection="0">
      <alignment horizontal="center" vertical="center"/>
    </xf>
    <xf numFmtId="176" fontId="161" fillId="7" borderId="0" applyNumberFormat="0" applyProtection="0">
      <alignment horizontal="center" vertical="center"/>
    </xf>
    <xf numFmtId="4" fontId="162" fillId="7" borderId="0" applyProtection="0">
      <alignment horizontal="center" vertical="center"/>
    </xf>
    <xf numFmtId="176" fontId="163" fillId="26" borderId="0" applyNumberFormat="0" applyProtection="0">
      <alignment horizontal="center" vertical="center"/>
    </xf>
    <xf numFmtId="4" fontId="26" fillId="26" borderId="0" applyProtection="0">
      <alignment horizontal="center" vertical="center"/>
    </xf>
    <xf numFmtId="176" fontId="156" fillId="7" borderId="0" applyNumberFormat="0" applyProtection="0">
      <alignment horizontal="center" vertical="center"/>
    </xf>
    <xf numFmtId="4" fontId="164" fillId="7" borderId="0" applyProtection="0">
      <alignment horizontal="center" vertical="center"/>
    </xf>
    <xf numFmtId="176" fontId="157" fillId="7" borderId="0" applyNumberFormat="0" applyProtection="0">
      <alignment horizontal="center" vertical="center"/>
    </xf>
    <xf numFmtId="4" fontId="165" fillId="7" borderId="0" applyProtection="0">
      <alignment horizontal="center" vertical="center"/>
    </xf>
    <xf numFmtId="176" fontId="159" fillId="21" borderId="0" applyNumberFormat="0" applyProtection="0">
      <alignment horizontal="center" vertical="center"/>
    </xf>
    <xf numFmtId="4" fontId="166" fillId="21" borderId="0" applyProtection="0">
      <alignment horizontal="center" vertical="center"/>
    </xf>
    <xf numFmtId="176" fontId="167" fillId="7" borderId="0" applyNumberFormat="0" applyProtection="0">
      <alignment horizontal="center" vertical="center"/>
    </xf>
    <xf numFmtId="4" fontId="168" fillId="7" borderId="0" applyProtection="0">
      <alignment horizontal="center" vertical="center"/>
    </xf>
    <xf numFmtId="176" fontId="163" fillId="26" borderId="0" applyNumberFormat="0" applyProtection="0">
      <alignment horizontal="center" vertical="center"/>
    </xf>
    <xf numFmtId="4" fontId="169" fillId="26" borderId="0" applyProtection="0">
      <alignment horizontal="center" vertical="center"/>
    </xf>
    <xf numFmtId="176" fontId="39" fillId="0" borderId="0"/>
    <xf numFmtId="176" fontId="39" fillId="0" borderId="0"/>
    <xf numFmtId="176" fontId="39" fillId="0" borderId="0"/>
    <xf numFmtId="176" fontId="39" fillId="0" borderId="0"/>
    <xf numFmtId="174" fontId="170" fillId="0" borderId="0" applyNumberFormat="0" applyFill="0" applyBorder="0" applyAlignment="0" applyProtection="0"/>
    <xf numFmtId="3" fontId="51" fillId="23" borderId="0">
      <alignment horizontal="left"/>
    </xf>
    <xf numFmtId="186" fontId="171" fillId="0" borderId="0"/>
    <xf numFmtId="176" fontId="172" fillId="0" borderId="4" applyNumberFormat="0"/>
    <xf numFmtId="176" fontId="10" fillId="2" borderId="0" applyNumberFormat="0" applyFont="0" applyBorder="0" applyAlignment="0" applyProtection="0"/>
    <xf numFmtId="176" fontId="23" fillId="0" borderId="0" applyFill="0" applyBorder="0" applyProtection="0">
      <alignment horizontal="center" vertical="center"/>
    </xf>
    <xf numFmtId="176" fontId="173" fillId="0" borderId="0" applyBorder="0" applyProtection="0">
      <alignment vertical="center"/>
    </xf>
    <xf numFmtId="176" fontId="173" fillId="0" borderId="2" applyBorder="0" applyProtection="0">
      <alignment horizontal="right" vertical="center"/>
    </xf>
    <xf numFmtId="176" fontId="174" fillId="27" borderId="0" applyBorder="0" applyProtection="0">
      <alignment horizontal="centerContinuous" vertical="center"/>
    </xf>
    <xf numFmtId="176" fontId="174" fillId="26" borderId="2" applyBorder="0" applyProtection="0">
      <alignment horizontal="centerContinuous" vertical="center"/>
    </xf>
    <xf numFmtId="176" fontId="113" fillId="0" borderId="0"/>
    <xf numFmtId="176" fontId="10" fillId="0" borderId="0" applyBorder="0" applyProtection="0">
      <alignment horizontal="left"/>
    </xf>
    <xf numFmtId="176" fontId="23" fillId="0" borderId="0" applyFill="0" applyBorder="0" applyProtection="0"/>
    <xf numFmtId="176" fontId="83" fillId="0" borderId="0"/>
    <xf numFmtId="176" fontId="175" fillId="0" borderId="0" applyFill="0" applyBorder="0" applyProtection="0">
      <alignment horizontal="left"/>
    </xf>
    <xf numFmtId="176" fontId="96" fillId="0" borderId="32" applyFill="0" applyBorder="0" applyProtection="0">
      <alignment horizontal="left" vertical="top"/>
    </xf>
    <xf numFmtId="176" fontId="134" fillId="0" borderId="0">
      <alignment horizontal="centerContinuous"/>
    </xf>
    <xf numFmtId="176" fontId="36" fillId="7" borderId="4" applyNumberFormat="0" applyFont="0" applyFill="0" applyAlignment="0" applyProtection="0">
      <protection locked="0"/>
    </xf>
    <xf numFmtId="176" fontId="36" fillId="7" borderId="50" applyNumberFormat="0" applyFont="0" applyFill="0" applyAlignment="0" applyProtection="0">
      <protection locked="0"/>
    </xf>
    <xf numFmtId="1" fontId="176" fillId="0" borderId="0"/>
    <xf numFmtId="176" fontId="71" fillId="0" borderId="0"/>
    <xf numFmtId="49" fontId="177" fillId="0" borderId="0"/>
    <xf numFmtId="176" fontId="3" fillId="0" borderId="0"/>
    <xf numFmtId="187" fontId="18" fillId="28" borderId="0" applyNumberFormat="0" applyFont="0" applyBorder="0" applyAlignment="0" applyProtection="0"/>
    <xf numFmtId="176" fontId="35" fillId="0" borderId="0"/>
    <xf numFmtId="176" fontId="10" fillId="0" borderId="0" applyNumberFormat="0" applyFill="0" applyBorder="0" applyAlignment="0" applyProtection="0"/>
    <xf numFmtId="176" fontId="178" fillId="0" borderId="0"/>
    <xf numFmtId="176" fontId="179" fillId="0" borderId="0" applyFill="0" applyBorder="0" applyProtection="0"/>
    <xf numFmtId="176" fontId="180" fillId="0" borderId="0"/>
    <xf numFmtId="49" fontId="53" fillId="0" borderId="0" applyFill="0" applyBorder="0" applyAlignment="0"/>
    <xf numFmtId="253" fontId="3" fillId="0" borderId="0" applyFill="0" applyBorder="0" applyAlignment="0"/>
    <xf numFmtId="254" fontId="3" fillId="0" borderId="0" applyFill="0" applyBorder="0" applyAlignment="0"/>
    <xf numFmtId="176" fontId="178" fillId="0" borderId="32" applyFill="0" applyBorder="0" applyProtection="0"/>
    <xf numFmtId="176" fontId="181" fillId="0" borderId="0" applyNumberFormat="0" applyFill="0" applyBorder="0" applyProtection="0">
      <alignment vertical="top"/>
    </xf>
    <xf numFmtId="176" fontId="182" fillId="0" borderId="51" applyNumberFormat="0" applyFill="0" applyProtection="0">
      <alignment horizontal="center" vertical="top"/>
    </xf>
    <xf numFmtId="176" fontId="181" fillId="0" borderId="0" applyNumberFormat="0" applyFill="0" applyBorder="0" applyProtection="0">
      <alignment vertical="top" wrapText="1"/>
    </xf>
    <xf numFmtId="191" fontId="18" fillId="0" borderId="0" applyFill="0" applyBorder="0" applyAlignment="0" applyProtection="0">
      <alignment horizontal="right"/>
    </xf>
    <xf numFmtId="39" fontId="18" fillId="5" borderId="17" applyFont="0" applyFill="0" applyBorder="0" applyAlignment="0" applyProtection="0">
      <alignment horizontal="center"/>
      <protection locked="0"/>
    </xf>
    <xf numFmtId="18" fontId="36" fillId="7" borderId="0" applyFont="0" applyFill="0" applyBorder="0" applyAlignment="0" applyProtection="0">
      <protection locked="0"/>
    </xf>
    <xf numFmtId="268" fontId="18" fillId="0" borderId="0"/>
    <xf numFmtId="40" fontId="183" fillId="0" borderId="0"/>
    <xf numFmtId="176" fontId="184" fillId="0" borderId="2" applyFill="0" applyAlignment="0" applyProtection="0">
      <alignment horizontal="left"/>
    </xf>
    <xf numFmtId="176" fontId="38" fillId="0" borderId="0" applyNumberFormat="0" applyFill="0" applyBorder="0" applyAlignment="0" applyProtection="0"/>
    <xf numFmtId="176" fontId="185" fillId="0" borderId="0" applyNumberFormat="0" applyFill="0" applyBorder="0" applyAlignment="0" applyProtection="0"/>
    <xf numFmtId="176" fontId="186" fillId="0" borderId="0"/>
    <xf numFmtId="176" fontId="18" fillId="0" borderId="0">
      <alignment horizontal="center"/>
    </xf>
    <xf numFmtId="176" fontId="187" fillId="0" borderId="0">
      <alignment horizontal="center"/>
    </xf>
    <xf numFmtId="176" fontId="18" fillId="0" borderId="0">
      <alignment horizontal="centerContinuous"/>
      <protection locked="0"/>
    </xf>
    <xf numFmtId="187" fontId="188" fillId="0" borderId="0" applyNumberFormat="0" applyFill="0" applyBorder="0" applyAlignment="0" applyProtection="0"/>
    <xf numFmtId="229" fontId="2" fillId="0" borderId="0">
      <alignment horizontal="right"/>
      <protection locked="0"/>
    </xf>
    <xf numFmtId="176" fontId="189" fillId="0" borderId="0" applyNumberFormat="0" applyFill="0" applyBorder="0" applyAlignment="0" applyProtection="0"/>
    <xf numFmtId="176" fontId="23" fillId="0" borderId="0" applyNumberFormat="0" applyFill="0" applyBorder="0" applyAlignment="0" applyProtection="0"/>
    <xf numFmtId="176" fontId="190" fillId="0" borderId="0" applyNumberFormat="0" applyFill="0" applyBorder="0" applyProtection="0">
      <alignment horizontal="center" textRotation="90"/>
    </xf>
    <xf numFmtId="3" fontId="191" fillId="23" borderId="0">
      <alignment horizontal="center"/>
    </xf>
    <xf numFmtId="3" fontId="117" fillId="7" borderId="2">
      <alignment horizontal="center" vertical="center"/>
    </xf>
    <xf numFmtId="176" fontId="192" fillId="0" borderId="0"/>
    <xf numFmtId="3" fontId="193" fillId="23" borderId="0">
      <alignment horizontal="left"/>
    </xf>
    <xf numFmtId="176" fontId="194" fillId="0" borderId="0" applyFill="0" applyBorder="0" applyAlignment="0" applyProtection="0"/>
    <xf numFmtId="3" fontId="18" fillId="0" borderId="4" applyNumberFormat="0" applyFont="0" applyFill="0" applyAlignment="0" applyProtection="0"/>
    <xf numFmtId="3" fontId="52" fillId="29" borderId="0">
      <alignment horizontal="right"/>
    </xf>
    <xf numFmtId="176" fontId="103" fillId="0" borderId="15" applyFill="0" applyBorder="0" applyProtection="0">
      <alignment vertical="center"/>
    </xf>
    <xf numFmtId="176" fontId="64" fillId="0" borderId="0">
      <alignment horizontal="left"/>
    </xf>
    <xf numFmtId="186" fontId="195" fillId="0" borderId="0">
      <alignment horizontal="left"/>
      <protection locked="0"/>
    </xf>
    <xf numFmtId="203" fontId="18" fillId="0" borderId="0"/>
    <xf numFmtId="38" fontId="3" fillId="8" borderId="0" applyNumberFormat="0" applyBorder="0" applyAlignment="0" applyProtection="0"/>
    <xf numFmtId="176" fontId="196" fillId="0" borderId="0">
      <alignment horizontal="fill"/>
    </xf>
    <xf numFmtId="38" fontId="53" fillId="0" borderId="26" applyFill="0" applyBorder="0" applyAlignment="0" applyProtection="0">
      <protection locked="0"/>
    </xf>
    <xf numFmtId="37" fontId="3" fillId="8" borderId="0" applyNumberFormat="0" applyBorder="0" applyAlignment="0" applyProtection="0"/>
    <xf numFmtId="37" fontId="3" fillId="0" borderId="0"/>
    <xf numFmtId="37" fontId="3" fillId="8" borderId="0" applyNumberFormat="0" applyBorder="0" applyAlignment="0" applyProtection="0"/>
    <xf numFmtId="3" fontId="9" fillId="0" borderId="22" applyProtection="0"/>
    <xf numFmtId="37" fontId="197" fillId="0" borderId="0">
      <protection locked="0"/>
    </xf>
    <xf numFmtId="266" fontId="18" fillId="0" borderId="0" applyFont="0" applyFill="0" applyBorder="0" applyAlignment="0" applyProtection="0"/>
    <xf numFmtId="266" fontId="18" fillId="0" borderId="0" applyFont="0" applyFill="0" applyBorder="0" applyAlignment="0" applyProtection="0"/>
    <xf numFmtId="165" fontId="1" fillId="0" borderId="0" applyFont="0" applyFill="0" applyBorder="0" applyAlignment="0" applyProtection="0"/>
    <xf numFmtId="2" fontId="94"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87" fontId="198" fillId="0" borderId="0" applyNumberFormat="0" applyFill="0" applyBorder="0" applyAlignment="0" applyProtection="0"/>
    <xf numFmtId="176" fontId="10" fillId="7" borderId="0" applyNumberFormat="0" applyFont="0" applyAlignment="0" applyProtection="0"/>
    <xf numFmtId="176" fontId="10" fillId="7" borderId="4" applyNumberFormat="0" applyFont="0" applyAlignment="0" applyProtection="0">
      <protection locked="0"/>
    </xf>
    <xf numFmtId="176" fontId="198" fillId="0" borderId="0" applyNumberFormat="0" applyFill="0" applyBorder="0" applyAlignment="0" applyProtection="0"/>
    <xf numFmtId="1" fontId="59" fillId="0" borderId="0" applyFont="0" applyFill="0" applyBorder="0" applyAlignment="0" applyProtection="0"/>
    <xf numFmtId="40" fontId="18" fillId="0" borderId="0">
      <alignment horizontal="left" wrapText="1"/>
    </xf>
    <xf numFmtId="198" fontId="22" fillId="0" borderId="0"/>
    <xf numFmtId="238" fontId="3" fillId="0" borderId="0" applyFont="0" applyFill="0" applyBorder="0" applyAlignment="0" applyProtection="0"/>
    <xf numFmtId="198" fontId="22" fillId="0" borderId="0"/>
    <xf numFmtId="204" fontId="40" fillId="0" borderId="0" applyFont="0" applyFill="0" applyBorder="0" applyAlignment="0" applyProtection="0"/>
    <xf numFmtId="180" fontId="40" fillId="0" borderId="0" applyFont="0" applyFill="0" applyBorder="0" applyAlignment="0" applyProtection="0"/>
    <xf numFmtId="264" fontId="3" fillId="0" borderId="0" applyFont="0" applyFill="0" applyBorder="0" applyAlignment="0" applyProtection="0"/>
    <xf numFmtId="234" fontId="69" fillId="0" borderId="0" applyFont="0" applyFill="0" applyBorder="0" applyAlignment="0" applyProtection="0"/>
    <xf numFmtId="176" fontId="59" fillId="0" borderId="0" applyFont="0" applyFill="0" applyBorder="0" applyProtection="0">
      <alignment horizontal="right"/>
    </xf>
    <xf numFmtId="176" fontId="125" fillId="30" borderId="52" applyNumberFormat="0" applyFont="0" applyBorder="0" applyAlignment="0" applyProtection="0">
      <alignment horizontal="right"/>
    </xf>
    <xf numFmtId="249" fontId="18" fillId="0" borderId="0" applyFont="0" applyFill="0" applyBorder="0" applyAlignment="0" applyProtection="0"/>
  </cellStyleXfs>
  <cellXfs count="566">
    <xf numFmtId="176" fontId="0" fillId="0" borderId="0" xfId="0"/>
    <xf numFmtId="168" fontId="7" fillId="0" borderId="0" xfId="1713" applyNumberFormat="1" applyFont="1" applyFill="1" applyBorder="1" applyAlignment="1">
      <alignment horizontal="centerContinuous" vertical="center"/>
    </xf>
    <xf numFmtId="176" fontId="8" fillId="0" borderId="0" xfId="0" applyFont="1"/>
    <xf numFmtId="176" fontId="3" fillId="0" borderId="0" xfId="0" applyFont="1"/>
    <xf numFmtId="176" fontId="3" fillId="0" borderId="0" xfId="0" applyFont="1" applyAlignment="1">
      <alignment horizontal="center"/>
    </xf>
    <xf numFmtId="176" fontId="10" fillId="0" borderId="0" xfId="0" applyFont="1"/>
    <xf numFmtId="168" fontId="7" fillId="0" borderId="2" xfId="1713" applyNumberFormat="1" applyFont="1" applyFill="1" applyBorder="1" applyAlignment="1">
      <alignment horizontal="left" vertical="center"/>
    </xf>
    <xf numFmtId="171" fontId="11" fillId="0" borderId="0" xfId="1713" applyNumberFormat="1" applyFont="1" applyFill="1" applyBorder="1" applyAlignment="1">
      <alignment horizontal="right" vertical="center"/>
    </xf>
    <xf numFmtId="168" fontId="3" fillId="0" borderId="0" xfId="0" applyNumberFormat="1" applyFont="1"/>
    <xf numFmtId="176" fontId="3" fillId="0" borderId="0" xfId="0" applyFont="1" applyAlignment="1">
      <alignment horizontal="right"/>
    </xf>
    <xf numFmtId="10" fontId="3" fillId="0" borderId="0" xfId="0" applyNumberFormat="1" applyFont="1"/>
    <xf numFmtId="168" fontId="3" fillId="0" borderId="0" xfId="1713" applyNumberFormat="1" applyFont="1" applyFill="1" applyBorder="1"/>
    <xf numFmtId="168" fontId="8" fillId="0" borderId="0" xfId="0" applyNumberFormat="1" applyFont="1"/>
    <xf numFmtId="176" fontId="0" fillId="0" borderId="0" xfId="0" applyAlignment="1">
      <alignment horizontal="center"/>
    </xf>
    <xf numFmtId="176" fontId="0" fillId="0" borderId="2" xfId="0" applyBorder="1" applyAlignment="1">
      <alignment horizontal="center"/>
    </xf>
    <xf numFmtId="168" fontId="7" fillId="0" borderId="21" xfId="1713" applyNumberFormat="1" applyFont="1" applyFill="1" applyBorder="1" applyAlignment="1">
      <alignment horizontal="left" vertical="center"/>
    </xf>
    <xf numFmtId="176" fontId="0" fillId="0" borderId="21" xfId="0" applyBorder="1" applyAlignment="1">
      <alignment horizontal="center"/>
    </xf>
    <xf numFmtId="174" fontId="11" fillId="0" borderId="0" xfId="0" applyNumberFormat="1" applyFont="1"/>
    <xf numFmtId="174" fontId="8" fillId="0" borderId="0" xfId="0" applyNumberFormat="1" applyFont="1"/>
    <xf numFmtId="176" fontId="8" fillId="0" borderId="0" xfId="0" applyFont="1" applyAlignment="1">
      <alignment horizontal="left"/>
    </xf>
    <xf numFmtId="169" fontId="15" fillId="0" borderId="0" xfId="0" applyNumberFormat="1" applyFont="1" applyAlignment="1" applyProtection="1">
      <alignment horizontal="center"/>
      <protection locked="0"/>
    </xf>
    <xf numFmtId="165" fontId="3" fillId="0" borderId="0" xfId="0" applyNumberFormat="1" applyFont="1"/>
    <xf numFmtId="168" fontId="6" fillId="0" borderId="0" xfId="1713" applyNumberFormat="1" applyFont="1" applyFill="1" applyBorder="1" applyAlignment="1" applyProtection="1">
      <alignment horizontal="centerContinuous" vertical="center"/>
    </xf>
    <xf numFmtId="176" fontId="0" fillId="26" borderId="0" xfId="0" applyFill="1"/>
    <xf numFmtId="168" fontId="6" fillId="26" borderId="5" xfId="1713" applyNumberFormat="1" applyFont="1" applyFill="1" applyBorder="1" applyAlignment="1" applyProtection="1">
      <alignment horizontal="centerContinuous" vertical="center"/>
    </xf>
    <xf numFmtId="176" fontId="0" fillId="26" borderId="0" xfId="0" applyFill="1" applyAlignment="1">
      <alignment horizontal="center"/>
    </xf>
    <xf numFmtId="176" fontId="3" fillId="0" borderId="2" xfId="0" applyFont="1" applyBorder="1"/>
    <xf numFmtId="176" fontId="3" fillId="0" borderId="2" xfId="0" applyFont="1" applyBorder="1" applyAlignment="1">
      <alignment horizontal="center"/>
    </xf>
    <xf numFmtId="168" fontId="12" fillId="0" borderId="0" xfId="0" applyNumberFormat="1" applyFont="1"/>
    <xf numFmtId="168" fontId="10" fillId="0" borderId="0" xfId="0" applyNumberFormat="1" applyFont="1"/>
    <xf numFmtId="10" fontId="3" fillId="0" borderId="0" xfId="0" applyNumberFormat="1" applyFont="1" applyAlignment="1">
      <alignment horizontal="center"/>
    </xf>
    <xf numFmtId="165" fontId="3" fillId="0" borderId="0" xfId="1713" applyFont="1" applyFill="1" applyBorder="1"/>
    <xf numFmtId="176" fontId="16" fillId="0" borderId="0" xfId="0" applyFont="1" applyAlignment="1">
      <alignment horizontal="center"/>
    </xf>
    <xf numFmtId="9" fontId="3" fillId="0" borderId="0" xfId="1397" applyFont="1" applyFill="1" applyBorder="1"/>
    <xf numFmtId="176" fontId="10" fillId="0" borderId="2" xfId="0" applyFont="1" applyBorder="1"/>
    <xf numFmtId="176" fontId="10" fillId="0" borderId="0" xfId="0" applyFont="1" applyAlignment="1">
      <alignment horizontal="center"/>
    </xf>
    <xf numFmtId="176" fontId="10" fillId="0" borderId="21" xfId="0" applyFont="1" applyBorder="1"/>
    <xf numFmtId="168" fontId="14" fillId="0" borderId="0" xfId="1713" applyNumberFormat="1" applyFont="1" applyFill="1" applyBorder="1" applyAlignment="1">
      <alignment horizontal="center" vertical="center"/>
    </xf>
    <xf numFmtId="2" fontId="3" fillId="0" borderId="0" xfId="0" applyNumberFormat="1" applyFont="1" applyAlignment="1">
      <alignment horizontal="center"/>
    </xf>
    <xf numFmtId="170" fontId="10" fillId="0" borderId="0" xfId="0" applyNumberFormat="1" applyFont="1" applyAlignment="1">
      <alignment horizontal="right"/>
    </xf>
    <xf numFmtId="168" fontId="10" fillId="0" borderId="0" xfId="1713" applyNumberFormat="1" applyFont="1" applyFill="1" applyBorder="1"/>
    <xf numFmtId="168" fontId="15" fillId="0" borderId="0" xfId="0" applyNumberFormat="1" applyFont="1"/>
    <xf numFmtId="168" fontId="10" fillId="0" borderId="0" xfId="0" applyNumberFormat="1" applyFont="1" applyAlignment="1">
      <alignment horizontal="center"/>
    </xf>
    <xf numFmtId="10" fontId="10" fillId="0" borderId="0" xfId="0" applyNumberFormat="1" applyFont="1" applyAlignment="1">
      <alignment horizontal="center"/>
    </xf>
    <xf numFmtId="2" fontId="10" fillId="0" borderId="0" xfId="0" applyNumberFormat="1" applyFont="1"/>
    <xf numFmtId="176" fontId="40" fillId="0" borderId="0" xfId="1311" applyFont="1"/>
    <xf numFmtId="176" fontId="10" fillId="0" borderId="0" xfId="0" applyFont="1" applyAlignment="1">
      <alignment horizontal="left"/>
    </xf>
    <xf numFmtId="176" fontId="3" fillId="0" borderId="21" xfId="0" applyFont="1" applyBorder="1" applyAlignment="1">
      <alignment horizontal="center"/>
    </xf>
    <xf numFmtId="168" fontId="10" fillId="0" borderId="21" xfId="1713" applyNumberFormat="1" applyFont="1" applyFill="1" applyBorder="1"/>
    <xf numFmtId="168" fontId="10" fillId="0" borderId="2" xfId="1713" applyNumberFormat="1" applyFont="1" applyFill="1" applyBorder="1"/>
    <xf numFmtId="168" fontId="3" fillId="0" borderId="21" xfId="0" applyNumberFormat="1" applyFont="1" applyBorder="1"/>
    <xf numFmtId="168" fontId="3" fillId="0" borderId="2" xfId="1713" applyNumberFormat="1" applyFont="1" applyFill="1" applyBorder="1"/>
    <xf numFmtId="176" fontId="3" fillId="0" borderId="53" xfId="0" applyFont="1" applyBorder="1"/>
    <xf numFmtId="170" fontId="10" fillId="0" borderId="21" xfId="1713" applyNumberFormat="1" applyFont="1" applyFill="1" applyBorder="1" applyAlignment="1">
      <alignment horizontal="right" vertical="center"/>
    </xf>
    <xf numFmtId="176" fontId="10" fillId="0" borderId="21" xfId="1713" applyNumberFormat="1" applyFont="1" applyFill="1" applyBorder="1" applyAlignment="1">
      <alignment horizontal="right" vertical="center"/>
    </xf>
    <xf numFmtId="170" fontId="10" fillId="0" borderId="2" xfId="1713" applyNumberFormat="1" applyFont="1" applyFill="1" applyBorder="1" applyAlignment="1">
      <alignment horizontal="right" vertical="center"/>
    </xf>
    <xf numFmtId="171" fontId="10" fillId="0" borderId="2" xfId="1713" applyNumberFormat="1" applyFont="1" applyFill="1" applyBorder="1" applyAlignment="1">
      <alignment horizontal="right" vertical="center"/>
    </xf>
    <xf numFmtId="171" fontId="10" fillId="0" borderId="0" xfId="1713" applyNumberFormat="1" applyFont="1" applyFill="1" applyBorder="1" applyAlignment="1">
      <alignment horizontal="right" vertical="center"/>
    </xf>
    <xf numFmtId="168" fontId="7" fillId="0" borderId="0" xfId="1713" applyNumberFormat="1" applyFont="1" applyFill="1" applyBorder="1" applyAlignment="1">
      <alignment horizontal="center" vertical="center"/>
    </xf>
    <xf numFmtId="174" fontId="10" fillId="0" borderId="0" xfId="0" applyNumberFormat="1" applyFont="1"/>
    <xf numFmtId="174" fontId="3" fillId="0" borderId="0" xfId="0" applyNumberFormat="1" applyFont="1"/>
    <xf numFmtId="169" fontId="9" fillId="0" borderId="0" xfId="0" applyNumberFormat="1" applyFont="1" applyAlignment="1" applyProtection="1">
      <alignment horizontal="center"/>
      <protection locked="0"/>
    </xf>
    <xf numFmtId="176" fontId="3" fillId="0" borderId="0" xfId="0" applyFont="1" applyAlignment="1">
      <alignment horizontal="left"/>
    </xf>
    <xf numFmtId="165" fontId="3" fillId="0" borderId="0" xfId="1713" applyFont="1" applyFill="1" applyBorder="1" applyAlignment="1" applyProtection="1">
      <alignment horizontal="center"/>
    </xf>
    <xf numFmtId="2" fontId="3" fillId="0" borderId="2" xfId="0" applyNumberFormat="1" applyFont="1" applyBorder="1" applyAlignment="1">
      <alignment horizontal="center"/>
    </xf>
    <xf numFmtId="165" fontId="3" fillId="0" borderId="2" xfId="1713" applyFont="1" applyFill="1" applyBorder="1"/>
    <xf numFmtId="10" fontId="3" fillId="0" borderId="53" xfId="0" applyNumberFormat="1" applyFont="1" applyBorder="1" applyAlignment="1">
      <alignment horizontal="center"/>
    </xf>
    <xf numFmtId="168" fontId="10" fillId="0" borderId="53" xfId="0" applyNumberFormat="1" applyFont="1" applyBorder="1"/>
    <xf numFmtId="9" fontId="3" fillId="0" borderId="0" xfId="1397" applyFont="1"/>
    <xf numFmtId="168" fontId="3" fillId="7" borderId="0" xfId="1713" applyNumberFormat="1" applyFont="1" applyFill="1" applyBorder="1" applyAlignment="1">
      <alignment horizontal="center"/>
    </xf>
    <xf numFmtId="9" fontId="3" fillId="7" borderId="0" xfId="1397" applyFont="1" applyFill="1" applyBorder="1" applyAlignment="1">
      <alignment horizontal="center"/>
    </xf>
    <xf numFmtId="176" fontId="3" fillId="0" borderId="2" xfId="0" applyFont="1" applyBorder="1" applyAlignment="1">
      <alignment horizontal="left"/>
    </xf>
    <xf numFmtId="9" fontId="3" fillId="0" borderId="2" xfId="1397" applyFont="1" applyBorder="1"/>
    <xf numFmtId="168" fontId="3" fillId="7" borderId="2" xfId="1713" applyNumberFormat="1" applyFont="1" applyFill="1" applyBorder="1" applyAlignment="1">
      <alignment horizontal="center"/>
    </xf>
    <xf numFmtId="176" fontId="3" fillId="0" borderId="0" xfId="1314" applyFont="1" applyAlignment="1">
      <alignment horizontal="center" vertical="center"/>
    </xf>
    <xf numFmtId="176" fontId="3" fillId="0" borderId="54" xfId="1314" applyFont="1" applyBorder="1"/>
    <xf numFmtId="176" fontId="3" fillId="0" borderId="0" xfId="1314" applyFont="1"/>
    <xf numFmtId="165" fontId="3" fillId="0" borderId="0" xfId="1314" applyNumberFormat="1" applyFont="1"/>
    <xf numFmtId="165" fontId="3" fillId="0" borderId="0" xfId="1713" applyFont="1" applyAlignment="1">
      <alignment horizontal="center" vertical="center"/>
    </xf>
    <xf numFmtId="176" fontId="10" fillId="0" borderId="0" xfId="1314" applyFont="1" applyAlignment="1">
      <alignment horizontal="left" vertical="center"/>
    </xf>
    <xf numFmtId="176" fontId="10" fillId="0" borderId="0" xfId="1311" applyFont="1" applyAlignment="1">
      <alignment horizontal="center"/>
    </xf>
    <xf numFmtId="176" fontId="3" fillId="0" borderId="0" xfId="1311" applyFont="1"/>
    <xf numFmtId="168" fontId="10" fillId="0" borderId="0" xfId="1601" applyNumberFormat="1" applyFont="1" applyFill="1" applyBorder="1"/>
    <xf numFmtId="165" fontId="10" fillId="0" borderId="0" xfId="1601" applyFont="1" applyFill="1" applyBorder="1"/>
    <xf numFmtId="165" fontId="3" fillId="0" borderId="0" xfId="1601" applyFont="1" applyFill="1" applyBorder="1"/>
    <xf numFmtId="1" fontId="10" fillId="0" borderId="55" xfId="1713" applyNumberFormat="1" applyFont="1" applyBorder="1" applyAlignment="1">
      <alignment horizontal="left"/>
    </xf>
    <xf numFmtId="9" fontId="10" fillId="0" borderId="56" xfId="1397" applyFont="1" applyBorder="1" applyAlignment="1">
      <alignment horizontal="right"/>
    </xf>
    <xf numFmtId="1" fontId="10" fillId="0" borderId="0" xfId="1713" applyNumberFormat="1" applyFont="1" applyFill="1" applyBorder="1" applyAlignment="1">
      <alignment horizontal="left"/>
    </xf>
    <xf numFmtId="9" fontId="10" fillId="0" borderId="0" xfId="1397" applyFont="1" applyFill="1" applyBorder="1" applyAlignment="1">
      <alignment horizontal="right"/>
    </xf>
    <xf numFmtId="9" fontId="10" fillId="0" borderId="0" xfId="1397" quotePrefix="1" applyFont="1" applyFill="1" applyBorder="1" applyAlignment="1">
      <alignment horizontal="right"/>
    </xf>
    <xf numFmtId="176" fontId="10" fillId="0" borderId="0" xfId="1311" applyFont="1" applyAlignment="1">
      <alignment horizontal="left"/>
    </xf>
    <xf numFmtId="269" fontId="3" fillId="0" borderId="0" xfId="1310" applyNumberFormat="1" applyFont="1"/>
    <xf numFmtId="176" fontId="199" fillId="0" borderId="0" xfId="1313" applyFont="1"/>
    <xf numFmtId="176" fontId="40" fillId="0" borderId="0" xfId="1313" applyFont="1"/>
    <xf numFmtId="176" fontId="40" fillId="0" borderId="0" xfId="1314" applyFont="1"/>
    <xf numFmtId="165" fontId="40" fillId="0" borderId="0" xfId="1314" applyNumberFormat="1" applyFont="1"/>
    <xf numFmtId="176" fontId="41" fillId="0" borderId="0" xfId="1314"/>
    <xf numFmtId="176" fontId="200" fillId="26" borderId="0" xfId="1311" applyFont="1" applyFill="1"/>
    <xf numFmtId="176" fontId="201" fillId="26" borderId="5" xfId="1311" applyFont="1" applyFill="1" applyBorder="1"/>
    <xf numFmtId="176" fontId="201" fillId="26" borderId="5" xfId="1311" applyFont="1" applyFill="1" applyBorder="1" applyAlignment="1">
      <alignment horizontal="right"/>
    </xf>
    <xf numFmtId="176" fontId="202" fillId="0" borderId="0" xfId="1311" applyFont="1"/>
    <xf numFmtId="176" fontId="200" fillId="0" borderId="0" xfId="1311" applyFont="1"/>
    <xf numFmtId="176" fontId="199" fillId="0" borderId="2" xfId="1313" applyFont="1" applyBorder="1"/>
    <xf numFmtId="168" fontId="3" fillId="7" borderId="0" xfId="1713" applyNumberFormat="1" applyFont="1" applyFill="1" applyBorder="1"/>
    <xf numFmtId="10" fontId="3" fillId="7" borderId="0" xfId="1397" applyNumberFormat="1" applyFont="1" applyFill="1" applyBorder="1"/>
    <xf numFmtId="176" fontId="10" fillId="0" borderId="0" xfId="1314" applyFont="1"/>
    <xf numFmtId="176" fontId="3" fillId="0" borderId="2" xfId="1314" applyFont="1" applyBorder="1"/>
    <xf numFmtId="10" fontId="10" fillId="7" borderId="0" xfId="1397" applyNumberFormat="1" applyFont="1" applyFill="1" applyBorder="1"/>
    <xf numFmtId="165" fontId="3" fillId="7" borderId="0" xfId="1713" applyFont="1" applyFill="1" applyBorder="1"/>
    <xf numFmtId="176" fontId="20" fillId="18" borderId="0" xfId="1314" applyFont="1" applyFill="1"/>
    <xf numFmtId="176" fontId="198" fillId="18" borderId="0" xfId="1314" applyFont="1" applyFill="1"/>
    <xf numFmtId="176" fontId="10" fillId="0" borderId="2" xfId="1314" applyFont="1" applyBorder="1"/>
    <xf numFmtId="165" fontId="12" fillId="0" borderId="2" xfId="1713" applyFont="1" applyFill="1" applyBorder="1"/>
    <xf numFmtId="176" fontId="41" fillId="0" borderId="2" xfId="1314" applyBorder="1"/>
    <xf numFmtId="176" fontId="204" fillId="0" borderId="2" xfId="1314" applyFont="1" applyBorder="1"/>
    <xf numFmtId="165" fontId="3" fillId="0" borderId="2" xfId="0" applyNumberFormat="1" applyFont="1" applyBorder="1"/>
    <xf numFmtId="165" fontId="3" fillId="0" borderId="0" xfId="1713" applyFont="1" applyBorder="1"/>
    <xf numFmtId="165" fontId="3" fillId="0" borderId="2" xfId="1713" applyFont="1" applyBorder="1"/>
    <xf numFmtId="165" fontId="3" fillId="7" borderId="0" xfId="1713" applyFont="1" applyFill="1" applyBorder="1" applyAlignment="1">
      <alignment horizontal="center"/>
    </xf>
    <xf numFmtId="176" fontId="3" fillId="0" borderId="15" xfId="0" applyFont="1" applyBorder="1"/>
    <xf numFmtId="176" fontId="3" fillId="0" borderId="15" xfId="0" applyFont="1" applyBorder="1" applyAlignment="1">
      <alignment horizontal="center"/>
    </xf>
    <xf numFmtId="165" fontId="3" fillId="7" borderId="15" xfId="1713" applyFont="1" applyFill="1" applyBorder="1" applyAlignment="1">
      <alignment horizontal="center"/>
    </xf>
    <xf numFmtId="176" fontId="10" fillId="18" borderId="0" xfId="0" applyFont="1" applyFill="1" applyAlignment="1">
      <alignment horizontal="left"/>
    </xf>
    <xf numFmtId="176" fontId="10" fillId="18" borderId="0" xfId="0" applyFont="1" applyFill="1" applyAlignment="1">
      <alignment horizontal="center"/>
    </xf>
    <xf numFmtId="168" fontId="10" fillId="18" borderId="0" xfId="0" applyNumberFormat="1" applyFont="1" applyFill="1"/>
    <xf numFmtId="176" fontId="41" fillId="0" borderId="56" xfId="1314" applyBorder="1"/>
    <xf numFmtId="176" fontId="41" fillId="0" borderId="57" xfId="1314" applyBorder="1"/>
    <xf numFmtId="176" fontId="3" fillId="0" borderId="5" xfId="0" applyFont="1" applyBorder="1" applyAlignment="1">
      <alignment horizontal="center"/>
    </xf>
    <xf numFmtId="165" fontId="10" fillId="0" borderId="0" xfId="1713" applyFont="1" applyFill="1"/>
    <xf numFmtId="165" fontId="10" fillId="7" borderId="0" xfId="1713" applyFont="1" applyFill="1" applyBorder="1"/>
    <xf numFmtId="165" fontId="10" fillId="0" borderId="0" xfId="1713" applyFont="1" applyFill="1" applyBorder="1"/>
    <xf numFmtId="169" fontId="3" fillId="7" borderId="0" xfId="1397" applyNumberFormat="1" applyFont="1" applyFill="1" applyBorder="1"/>
    <xf numFmtId="9" fontId="3" fillId="7" borderId="0" xfId="1397" applyFont="1" applyFill="1" applyBorder="1"/>
    <xf numFmtId="9" fontId="10" fillId="7" borderId="0" xfId="1397" applyFont="1" applyFill="1" applyBorder="1"/>
    <xf numFmtId="168" fontId="205" fillId="0" borderId="0" xfId="1713" applyNumberFormat="1" applyFont="1" applyFill="1" applyBorder="1"/>
    <xf numFmtId="168" fontId="205" fillId="0" borderId="2" xfId="1713" applyNumberFormat="1" applyFont="1" applyFill="1" applyBorder="1"/>
    <xf numFmtId="176" fontId="10" fillId="0" borderId="2" xfId="0" applyFont="1" applyBorder="1" applyAlignment="1">
      <alignment horizontal="center"/>
    </xf>
    <xf numFmtId="168" fontId="10" fillId="0" borderId="2" xfId="0" applyNumberFormat="1" applyFont="1" applyBorder="1"/>
    <xf numFmtId="176" fontId="10" fillId="0" borderId="2" xfId="0" applyFont="1" applyBorder="1" applyAlignment="1">
      <alignment horizontal="left"/>
    </xf>
    <xf numFmtId="170" fontId="10" fillId="0" borderId="2" xfId="0" applyNumberFormat="1" applyFont="1" applyBorder="1" applyAlignment="1">
      <alignment horizontal="right"/>
    </xf>
    <xf numFmtId="168" fontId="15" fillId="0" borderId="2" xfId="0" applyNumberFormat="1" applyFont="1" applyBorder="1"/>
    <xf numFmtId="165" fontId="3" fillId="0" borderId="0" xfId="1713" applyFont="1"/>
    <xf numFmtId="168" fontId="3" fillId="0" borderId="0" xfId="1713" applyNumberFormat="1" applyFont="1"/>
    <xf numFmtId="10" fontId="3" fillId="0" borderId="0" xfId="1397" applyNumberFormat="1" applyFont="1" applyFill="1" applyBorder="1"/>
    <xf numFmtId="168" fontId="3" fillId="0" borderId="0" xfId="1713" applyNumberFormat="1" applyFont="1" applyBorder="1"/>
    <xf numFmtId="168" fontId="10" fillId="0" borderId="0" xfId="1713" applyNumberFormat="1" applyFont="1" applyFill="1" applyBorder="1" applyAlignment="1" applyProtection="1">
      <alignment horizontal="center"/>
    </xf>
    <xf numFmtId="14" fontId="201" fillId="26" borderId="0" xfId="1311" applyNumberFormat="1" applyFont="1" applyFill="1" applyAlignment="1">
      <alignment horizontal="right"/>
    </xf>
    <xf numFmtId="168" fontId="10" fillId="0" borderId="2" xfId="1713" quotePrefix="1" applyNumberFormat="1" applyFont="1" applyFill="1" applyBorder="1" applyAlignment="1">
      <alignment horizontal="center"/>
    </xf>
    <xf numFmtId="169" fontId="3" fillId="0" borderId="0" xfId="1397" applyNumberFormat="1" applyFont="1" applyFill="1" applyBorder="1"/>
    <xf numFmtId="176" fontId="16" fillId="0" borderId="0" xfId="0" applyFont="1" applyAlignment="1">
      <alignment horizontal="left" indent="1"/>
    </xf>
    <xf numFmtId="168" fontId="7" fillId="0" borderId="2" xfId="1713" applyNumberFormat="1" applyFont="1" applyFill="1" applyBorder="1" applyAlignment="1">
      <alignment horizontal="centerContinuous" vertical="center"/>
    </xf>
    <xf numFmtId="168" fontId="16" fillId="0" borderId="0" xfId="1713" applyNumberFormat="1" applyFont="1" applyFill="1" applyBorder="1"/>
    <xf numFmtId="168" fontId="19" fillId="26" borderId="0" xfId="1713" applyNumberFormat="1" applyFont="1" applyFill="1" applyBorder="1" applyAlignment="1" applyProtection="1">
      <alignment vertical="center"/>
    </xf>
    <xf numFmtId="168" fontId="20" fillId="26" borderId="5" xfId="1713" applyNumberFormat="1" applyFont="1" applyFill="1" applyBorder="1" applyAlignment="1" applyProtection="1">
      <alignment vertical="center"/>
    </xf>
    <xf numFmtId="176" fontId="19" fillId="26" borderId="0" xfId="1311" applyFont="1" applyFill="1"/>
    <xf numFmtId="176" fontId="3" fillId="0" borderId="0" xfId="1313" applyFont="1"/>
    <xf numFmtId="176" fontId="3" fillId="7" borderId="2" xfId="1313" applyFont="1" applyFill="1" applyBorder="1"/>
    <xf numFmtId="168" fontId="3" fillId="7" borderId="0" xfId="1713" applyNumberFormat="1" applyFont="1" applyFill="1"/>
    <xf numFmtId="176" fontId="3" fillId="0" borderId="2" xfId="1311" applyFont="1" applyBorder="1"/>
    <xf numFmtId="270" fontId="3" fillId="0" borderId="0" xfId="1713" applyNumberFormat="1" applyFont="1" applyFill="1" applyBorder="1"/>
    <xf numFmtId="10" fontId="3" fillId="0" borderId="0" xfId="1397" applyNumberFormat="1" applyFont="1"/>
    <xf numFmtId="176" fontId="20" fillId="26" borderId="0" xfId="1311" applyFont="1" applyFill="1"/>
    <xf numFmtId="176" fontId="10" fillId="0" borderId="0" xfId="1309" applyFont="1"/>
    <xf numFmtId="37" fontId="15" fillId="7" borderId="0" xfId="1313" applyNumberFormat="1" applyFont="1" applyFill="1"/>
    <xf numFmtId="37" fontId="3" fillId="7" borderId="0" xfId="1313" applyNumberFormat="1" applyFont="1" applyFill="1"/>
    <xf numFmtId="176" fontId="3" fillId="0" borderId="2" xfId="1313" applyFont="1" applyBorder="1"/>
    <xf numFmtId="176" fontId="3" fillId="7" borderId="0" xfId="1313" applyFont="1" applyFill="1"/>
    <xf numFmtId="168" fontId="10" fillId="7" borderId="0" xfId="1713" applyNumberFormat="1" applyFont="1" applyFill="1" applyBorder="1"/>
    <xf numFmtId="176" fontId="10" fillId="26" borderId="0" xfId="1311" applyFont="1" applyFill="1" applyAlignment="1">
      <alignment horizontal="right"/>
    </xf>
    <xf numFmtId="14" fontId="10" fillId="26" borderId="0" xfId="1311" applyNumberFormat="1" applyFont="1" applyFill="1" applyAlignment="1">
      <alignment horizontal="right"/>
    </xf>
    <xf numFmtId="176" fontId="10" fillId="0" borderId="0" xfId="1311" applyFont="1"/>
    <xf numFmtId="176" fontId="8" fillId="0" borderId="0" xfId="1313" applyFont="1"/>
    <xf numFmtId="176" fontId="206" fillId="0" borderId="0" xfId="1311" applyFont="1"/>
    <xf numFmtId="176" fontId="209" fillId="0" borderId="0" xfId="1309" applyFont="1"/>
    <xf numFmtId="176" fontId="199" fillId="0" borderId="0" xfId="1312" applyFont="1"/>
    <xf numFmtId="176" fontId="199" fillId="0" borderId="5" xfId="1312" applyFont="1" applyBorder="1"/>
    <xf numFmtId="176" fontId="207" fillId="0" borderId="0" xfId="1312" applyFont="1"/>
    <xf numFmtId="176" fontId="43" fillId="0" borderId="0" xfId="1312" applyFont="1"/>
    <xf numFmtId="176" fontId="40" fillId="0" borderId="0" xfId="1312" applyFont="1"/>
    <xf numFmtId="176" fontId="208" fillId="0" borderId="0" xfId="1312" applyFont="1"/>
    <xf numFmtId="176" fontId="210" fillId="0" borderId="0" xfId="1312" applyFont="1"/>
    <xf numFmtId="176" fontId="203" fillId="0" borderId="0" xfId="1312" applyFont="1"/>
    <xf numFmtId="176" fontId="40" fillId="26" borderId="0" xfId="1311" applyFont="1" applyFill="1"/>
    <xf numFmtId="176" fontId="201" fillId="26" borderId="0" xfId="1311" applyFont="1" applyFill="1" applyAlignment="1">
      <alignment horizontal="right"/>
    </xf>
    <xf numFmtId="176" fontId="10" fillId="0" borderId="0" xfId="1312" applyFont="1"/>
    <xf numFmtId="164" fontId="3" fillId="0" borderId="0" xfId="1312" applyNumberFormat="1" applyFont="1"/>
    <xf numFmtId="176" fontId="3" fillId="0" borderId="0" xfId="1312" applyFont="1"/>
    <xf numFmtId="10" fontId="10" fillId="0" borderId="0" xfId="1397" applyNumberFormat="1" applyFont="1"/>
    <xf numFmtId="176" fontId="3" fillId="0" borderId="0" xfId="1312" applyFont="1" applyAlignment="1">
      <alignment horizontal="left" vertical="center" wrapText="1"/>
    </xf>
    <xf numFmtId="10" fontId="10" fillId="0" borderId="0" xfId="1397" applyNumberFormat="1" applyFont="1" applyFill="1"/>
    <xf numFmtId="176" fontId="3" fillId="0" borderId="0" xfId="1312" applyFont="1" applyAlignment="1">
      <alignment horizontal="left" indent="1"/>
    </xf>
    <xf numFmtId="176" fontId="10" fillId="0" borderId="0" xfId="1312" applyFont="1" applyAlignment="1">
      <alignment horizontal="left"/>
    </xf>
    <xf numFmtId="1" fontId="10" fillId="0" borderId="0" xfId="1713" applyNumberFormat="1" applyFont="1" applyBorder="1" applyAlignment="1">
      <alignment horizontal="right"/>
    </xf>
    <xf numFmtId="166" fontId="3" fillId="0" borderId="0" xfId="1312" applyNumberFormat="1" applyFont="1"/>
    <xf numFmtId="176" fontId="10" fillId="0" borderId="58" xfId="1312" applyFont="1" applyBorder="1"/>
    <xf numFmtId="176" fontId="10" fillId="0" borderId="59" xfId="1312" applyFont="1" applyBorder="1"/>
    <xf numFmtId="166" fontId="10" fillId="0" borderId="60" xfId="1312" applyNumberFormat="1" applyFont="1" applyBorder="1"/>
    <xf numFmtId="168" fontId="3" fillId="7" borderId="0" xfId="1315" applyNumberFormat="1" applyFont="1" applyFill="1"/>
    <xf numFmtId="176" fontId="3" fillId="7" borderId="0" xfId="1315" applyFont="1" applyFill="1"/>
    <xf numFmtId="176" fontId="10" fillId="0" borderId="0" xfId="1313" applyFont="1"/>
    <xf numFmtId="168" fontId="10" fillId="0" borderId="58" xfId="1713" applyNumberFormat="1" applyFont="1" applyBorder="1" applyAlignment="1">
      <alignment horizontal="left"/>
    </xf>
    <xf numFmtId="168" fontId="10" fillId="7" borderId="59" xfId="1713" applyNumberFormat="1" applyFont="1" applyFill="1" applyBorder="1"/>
    <xf numFmtId="168" fontId="3" fillId="0" borderId="0" xfId="1713" applyNumberFormat="1" applyFont="1" applyFill="1"/>
    <xf numFmtId="168" fontId="10" fillId="0" borderId="0" xfId="1713" applyNumberFormat="1" applyFont="1" applyBorder="1"/>
    <xf numFmtId="176" fontId="204" fillId="0" borderId="56" xfId="1314" applyFont="1" applyBorder="1" applyAlignment="1">
      <alignment horizontal="center"/>
    </xf>
    <xf numFmtId="37" fontId="10" fillId="7" borderId="0" xfId="1311" applyNumberFormat="1" applyFont="1" applyFill="1" applyAlignment="1">
      <alignment horizontal="left" vertical="center" indent="1"/>
    </xf>
    <xf numFmtId="176" fontId="10" fillId="7" borderId="0" xfId="1311" applyFont="1" applyFill="1"/>
    <xf numFmtId="37" fontId="9" fillId="7" borderId="0" xfId="1311" applyNumberFormat="1" applyFont="1" applyFill="1"/>
    <xf numFmtId="176" fontId="3" fillId="7" borderId="0" xfId="1311" applyFont="1" applyFill="1"/>
    <xf numFmtId="168" fontId="3" fillId="7" borderId="0" xfId="1713" applyNumberFormat="1" applyFont="1" applyFill="1" applyAlignment="1">
      <alignment horizontal="left" indent="2"/>
    </xf>
    <xf numFmtId="37" fontId="3" fillId="7" borderId="0" xfId="1311" applyNumberFormat="1" applyFont="1" applyFill="1" applyAlignment="1">
      <alignment vertical="center"/>
    </xf>
    <xf numFmtId="37" fontId="10" fillId="7" borderId="0" xfId="1311" applyNumberFormat="1" applyFont="1" applyFill="1"/>
    <xf numFmtId="176" fontId="3" fillId="0" borderId="61" xfId="0" applyFont="1" applyBorder="1"/>
    <xf numFmtId="176" fontId="3" fillId="0" borderId="61" xfId="0" applyFont="1" applyBorder="1" applyAlignment="1">
      <alignment horizontal="center"/>
    </xf>
    <xf numFmtId="168" fontId="3" fillId="0" borderId="61" xfId="0" applyNumberFormat="1" applyFont="1" applyBorder="1"/>
    <xf numFmtId="176" fontId="10" fillId="0" borderId="4" xfId="0" applyFont="1" applyBorder="1"/>
    <xf numFmtId="176" fontId="3" fillId="0" borderId="4" xfId="0" applyFont="1" applyBorder="1" applyAlignment="1">
      <alignment horizontal="center"/>
    </xf>
    <xf numFmtId="168" fontId="10" fillId="0" borderId="4" xfId="0" applyNumberFormat="1" applyFont="1" applyBorder="1"/>
    <xf numFmtId="176" fontId="3" fillId="0" borderId="54" xfId="0" applyFont="1" applyBorder="1"/>
    <xf numFmtId="176" fontId="3" fillId="0" borderId="54" xfId="0" applyFont="1" applyBorder="1" applyAlignment="1">
      <alignment horizontal="center"/>
    </xf>
    <xf numFmtId="9" fontId="3" fillId="0" borderId="54" xfId="1397" applyFont="1" applyFill="1" applyBorder="1"/>
    <xf numFmtId="176" fontId="10" fillId="0" borderId="21" xfId="0" applyFont="1" applyBorder="1" applyAlignment="1">
      <alignment horizontal="center"/>
    </xf>
    <xf numFmtId="176" fontId="3" fillId="7" borderId="0" xfId="1312" applyFont="1" applyFill="1"/>
    <xf numFmtId="176" fontId="10" fillId="7" borderId="0" xfId="1312" applyFont="1" applyFill="1"/>
    <xf numFmtId="176" fontId="10" fillId="7" borderId="0" xfId="1315" applyFont="1" applyFill="1"/>
    <xf numFmtId="166" fontId="3" fillId="7" borderId="0" xfId="1312" applyNumberFormat="1" applyFont="1" applyFill="1"/>
    <xf numFmtId="166" fontId="10" fillId="7" borderId="0" xfId="1312" applyNumberFormat="1" applyFont="1" applyFill="1"/>
    <xf numFmtId="1" fontId="10" fillId="7" borderId="0" xfId="1315" applyNumberFormat="1" applyFont="1" applyFill="1" applyAlignment="1">
      <alignment horizontal="center"/>
    </xf>
    <xf numFmtId="168" fontId="10" fillId="7" borderId="0" xfId="1315" applyNumberFormat="1" applyFont="1" applyFill="1"/>
    <xf numFmtId="165" fontId="3" fillId="7" borderId="0" xfId="1713" applyFont="1" applyFill="1" applyBorder="1" applyAlignment="1">
      <alignment horizontal="left"/>
    </xf>
    <xf numFmtId="168" fontId="3" fillId="0" borderId="0" xfId="1314" applyNumberFormat="1" applyFont="1"/>
    <xf numFmtId="176" fontId="3" fillId="0" borderId="0" xfId="1314" applyFont="1" applyAlignment="1">
      <alignment horizontal="right"/>
    </xf>
    <xf numFmtId="176" fontId="3" fillId="0" borderId="5" xfId="0" applyFont="1" applyBorder="1"/>
    <xf numFmtId="176" fontId="3" fillId="26" borderId="0" xfId="1312" applyFont="1" applyFill="1" applyAlignment="1">
      <alignment vertical="center" wrapText="1"/>
    </xf>
    <xf numFmtId="176" fontId="3" fillId="26" borderId="0" xfId="1312" applyFont="1" applyFill="1"/>
    <xf numFmtId="176" fontId="3" fillId="26" borderId="0" xfId="1312" applyFont="1" applyFill="1" applyAlignment="1">
      <alignment horizontal="left" vertical="center" wrapText="1"/>
    </xf>
    <xf numFmtId="14" fontId="3" fillId="26" borderId="0" xfId="1312" applyNumberFormat="1" applyFont="1" applyFill="1" applyAlignment="1">
      <alignment horizontal="center" vertical="center" wrapText="1"/>
    </xf>
    <xf numFmtId="169" fontId="3" fillId="7" borderId="0" xfId="1397" applyNumberFormat="1" applyFont="1" applyFill="1" applyBorder="1" applyAlignment="1">
      <alignment vertical="center" wrapText="1"/>
    </xf>
    <xf numFmtId="167" fontId="3" fillId="7" borderId="0" xfId="1713" applyNumberFormat="1" applyFont="1" applyFill="1" applyBorder="1" applyAlignment="1">
      <alignment vertical="center" wrapText="1"/>
    </xf>
    <xf numFmtId="176" fontId="10" fillId="7" borderId="2" xfId="1312" applyFont="1" applyFill="1" applyBorder="1"/>
    <xf numFmtId="176" fontId="3" fillId="7" borderId="2" xfId="1312" applyFont="1" applyFill="1" applyBorder="1"/>
    <xf numFmtId="167" fontId="3" fillId="7" borderId="2" xfId="1713" applyNumberFormat="1" applyFont="1" applyFill="1" applyBorder="1" applyAlignment="1">
      <alignment vertical="center" wrapText="1"/>
    </xf>
    <xf numFmtId="166" fontId="3" fillId="7" borderId="2" xfId="1312" applyNumberFormat="1" applyFont="1" applyFill="1" applyBorder="1"/>
    <xf numFmtId="169" fontId="3" fillId="7" borderId="2" xfId="1397" applyNumberFormat="1" applyFont="1" applyFill="1" applyBorder="1"/>
    <xf numFmtId="166" fontId="3" fillId="7" borderId="0" xfId="1312" applyNumberFormat="1" applyFont="1" applyFill="1" applyAlignment="1">
      <alignment horizontal="left"/>
    </xf>
    <xf numFmtId="176" fontId="3" fillId="7" borderId="0" xfId="1312" applyFont="1" applyFill="1" applyAlignment="1">
      <alignment horizontal="left"/>
    </xf>
    <xf numFmtId="176" fontId="3" fillId="7" borderId="2" xfId="1315" applyFont="1" applyFill="1" applyBorder="1" applyAlignment="1">
      <alignment horizontal="left"/>
    </xf>
    <xf numFmtId="165" fontId="3" fillId="7" borderId="2" xfId="1713" applyFont="1" applyFill="1" applyBorder="1"/>
    <xf numFmtId="174" fontId="3" fillId="7" borderId="0" xfId="1313" applyNumberFormat="1" applyFont="1" applyFill="1"/>
    <xf numFmtId="271" fontId="3" fillId="7" borderId="2" xfId="1250" applyNumberFormat="1" applyFont="1" applyFill="1" applyBorder="1"/>
    <xf numFmtId="169" fontId="3" fillId="0" borderId="0" xfId="1314" applyNumberFormat="1" applyFont="1"/>
    <xf numFmtId="176" fontId="97" fillId="0" borderId="0" xfId="0" applyFont="1"/>
    <xf numFmtId="169" fontId="97" fillId="0" borderId="0" xfId="1397" applyNumberFormat="1" applyFont="1" applyFill="1" applyBorder="1"/>
    <xf numFmtId="176" fontId="20" fillId="26" borderId="0" xfId="1312" applyFont="1" applyFill="1" applyAlignment="1">
      <alignment horizontal="left"/>
    </xf>
    <xf numFmtId="10" fontId="3" fillId="7" borderId="0" xfId="1397" applyNumberFormat="1" applyFont="1" applyFill="1"/>
    <xf numFmtId="10" fontId="3" fillId="7" borderId="0" xfId="1312" applyNumberFormat="1" applyFont="1" applyFill="1"/>
    <xf numFmtId="1" fontId="20" fillId="26" borderId="2" xfId="1713" applyNumberFormat="1" applyFont="1" applyFill="1" applyBorder="1" applyAlignment="1">
      <alignment horizontal="right"/>
    </xf>
    <xf numFmtId="1" fontId="10" fillId="26" borderId="0" xfId="1713" applyNumberFormat="1" applyFont="1" applyFill="1" applyBorder="1" applyAlignment="1">
      <alignment horizontal="right"/>
    </xf>
    <xf numFmtId="165" fontId="10" fillId="0" borderId="2" xfId="1713" applyFont="1" applyFill="1" applyBorder="1"/>
    <xf numFmtId="176" fontId="40" fillId="0" borderId="2" xfId="1313" applyFont="1" applyBorder="1"/>
    <xf numFmtId="165" fontId="3" fillId="7" borderId="0" xfId="1397" applyNumberFormat="1" applyFont="1" applyFill="1" applyBorder="1" applyAlignment="1">
      <alignment horizontal="center"/>
    </xf>
    <xf numFmtId="168" fontId="219" fillId="0" borderId="0" xfId="0" applyNumberFormat="1" applyFont="1"/>
    <xf numFmtId="176" fontId="20" fillId="26" borderId="0" xfId="1311" applyFont="1" applyFill="1" applyAlignment="1">
      <alignment horizontal="center"/>
    </xf>
    <xf numFmtId="176" fontId="3" fillId="7" borderId="2" xfId="1312" applyFont="1" applyFill="1" applyBorder="1" applyAlignment="1">
      <alignment horizontal="center"/>
    </xf>
    <xf numFmtId="176" fontId="3" fillId="7" borderId="0" xfId="1312" applyFont="1" applyFill="1" applyAlignment="1">
      <alignment horizontal="center"/>
    </xf>
    <xf numFmtId="166" fontId="3" fillId="7" borderId="2" xfId="1312" applyNumberFormat="1" applyFont="1" applyFill="1" applyBorder="1" applyAlignment="1">
      <alignment horizontal="left"/>
    </xf>
    <xf numFmtId="165" fontId="3" fillId="31" borderId="0" xfId="1713" applyFont="1" applyFill="1" applyBorder="1"/>
    <xf numFmtId="168" fontId="220" fillId="0" borderId="0" xfId="0" applyNumberFormat="1" applyFont="1"/>
    <xf numFmtId="168" fontId="10" fillId="0" borderId="0" xfId="0" applyNumberFormat="1" applyFont="1" applyAlignment="1">
      <alignment horizontal="left"/>
    </xf>
    <xf numFmtId="165" fontId="10" fillId="0" borderId="0" xfId="1713" quotePrefix="1" applyFont="1" applyFill="1" applyBorder="1" applyAlignment="1">
      <alignment horizontal="right"/>
    </xf>
    <xf numFmtId="176" fontId="18" fillId="26" borderId="0" xfId="0" applyFont="1" applyFill="1"/>
    <xf numFmtId="168" fontId="3" fillId="0" borderId="0" xfId="1571" applyNumberFormat="1" applyFont="1" applyFill="1" applyBorder="1"/>
    <xf numFmtId="168" fontId="3" fillId="0" borderId="0" xfId="1713" applyNumberFormat="1" applyFont="1" applyFill="1" applyBorder="1" applyAlignment="1">
      <alignment horizontal="center"/>
    </xf>
    <xf numFmtId="167" fontId="10" fillId="0" borderId="0" xfId="0" applyNumberFormat="1" applyFont="1"/>
    <xf numFmtId="168" fontId="220" fillId="0" borderId="0" xfId="1713" applyNumberFormat="1" applyFont="1" applyFill="1" applyBorder="1"/>
    <xf numFmtId="43" fontId="3" fillId="0" borderId="0" xfId="1314" applyNumberFormat="1" applyFont="1" applyAlignment="1">
      <alignment horizontal="center" vertical="center"/>
    </xf>
    <xf numFmtId="176" fontId="3" fillId="0" borderId="2" xfId="1314" applyFont="1" applyBorder="1" applyAlignment="1">
      <alignment horizontal="right"/>
    </xf>
    <xf numFmtId="10" fontId="10" fillId="0" borderId="2" xfId="1397" applyNumberFormat="1" applyFont="1" applyFill="1" applyBorder="1"/>
    <xf numFmtId="168" fontId="10" fillId="0" borderId="21" xfId="1713" applyNumberFormat="1" applyFont="1" applyFill="1" applyBorder="1" applyAlignment="1">
      <alignment horizontal="left" vertical="center"/>
    </xf>
    <xf numFmtId="171" fontId="10" fillId="0" borderId="21" xfId="1713" applyNumberFormat="1" applyFont="1" applyFill="1" applyBorder="1" applyAlignment="1">
      <alignment horizontal="center" vertical="center"/>
    </xf>
    <xf numFmtId="168" fontId="3" fillId="0" borderId="0" xfId="1601" applyNumberFormat="1" applyFont="1" applyFill="1" applyBorder="1"/>
    <xf numFmtId="168" fontId="10" fillId="0" borderId="0" xfId="1713" applyNumberFormat="1" applyFont="1" applyAlignment="1">
      <alignment horizontal="center" vertical="center"/>
    </xf>
    <xf numFmtId="168" fontId="10" fillId="0" borderId="0" xfId="1713" applyNumberFormat="1" applyFont="1" applyBorder="1" applyAlignment="1">
      <alignment horizontal="center" vertical="center"/>
    </xf>
    <xf numFmtId="168" fontId="3" fillId="7" borderId="2" xfId="1713" applyNumberFormat="1" applyFont="1" applyFill="1" applyBorder="1" applyAlignment="1">
      <alignment horizontal="left" indent="2"/>
    </xf>
    <xf numFmtId="176" fontId="3" fillId="0" borderId="0" xfId="1313" applyFont="1" applyAlignment="1">
      <alignment vertical="center"/>
    </xf>
    <xf numFmtId="168" fontId="3" fillId="0" borderId="0" xfId="1713" applyNumberFormat="1" applyFont="1" applyAlignment="1">
      <alignment vertical="center"/>
    </xf>
    <xf numFmtId="176" fontId="10" fillId="0" borderId="0" xfId="1313" applyFont="1" applyAlignment="1">
      <alignment vertical="center"/>
    </xf>
    <xf numFmtId="168" fontId="10" fillId="0" borderId="0" xfId="1313" applyNumberFormat="1" applyFont="1" applyAlignment="1">
      <alignment vertical="center"/>
    </xf>
    <xf numFmtId="168" fontId="3" fillId="0" borderId="0" xfId="1313" applyNumberFormat="1" applyFont="1" applyAlignment="1">
      <alignment vertical="center"/>
    </xf>
    <xf numFmtId="176" fontId="10" fillId="0" borderId="21" xfId="1313" applyFont="1" applyBorder="1" applyAlignment="1">
      <alignment vertical="center"/>
    </xf>
    <xf numFmtId="168" fontId="3" fillId="7" borderId="5" xfId="1713" applyNumberFormat="1" applyFont="1" applyFill="1" applyBorder="1"/>
    <xf numFmtId="168" fontId="10" fillId="0" borderId="21" xfId="1713" applyNumberFormat="1" applyFont="1" applyBorder="1" applyAlignment="1">
      <alignment vertical="center"/>
    </xf>
    <xf numFmtId="176" fontId="41" fillId="0" borderId="62" xfId="1314" applyBorder="1"/>
    <xf numFmtId="176" fontId="204" fillId="0" borderId="56" xfId="1314" quotePrefix="1" applyFont="1" applyBorder="1" applyAlignment="1">
      <alignment horizontal="center"/>
    </xf>
    <xf numFmtId="168" fontId="3" fillId="0" borderId="2" xfId="1713" applyNumberFormat="1" applyFont="1" applyBorder="1"/>
    <xf numFmtId="176" fontId="10" fillId="32" borderId="0" xfId="1313" applyFont="1" applyFill="1" applyAlignment="1">
      <alignment horizontal="left" vertical="center"/>
    </xf>
    <xf numFmtId="168" fontId="10" fillId="32" borderId="0" xfId="1713" applyNumberFormat="1" applyFont="1" applyFill="1" applyAlignment="1">
      <alignment horizontal="left" vertical="center"/>
    </xf>
    <xf numFmtId="272" fontId="10" fillId="32" borderId="0" xfId="1313" applyNumberFormat="1" applyFont="1" applyFill="1" applyAlignment="1">
      <alignment horizontal="left" vertical="center"/>
    </xf>
    <xf numFmtId="165" fontId="3" fillId="32" borderId="0" xfId="1601" applyFont="1" applyFill="1" applyBorder="1"/>
    <xf numFmtId="1" fontId="10" fillId="0" borderId="0" xfId="1713" applyNumberFormat="1" applyFont="1" applyBorder="1" applyAlignment="1">
      <alignment horizontal="left"/>
    </xf>
    <xf numFmtId="176" fontId="10" fillId="0" borderId="0" xfId="1314" applyFont="1" applyAlignment="1">
      <alignment horizontal="center"/>
    </xf>
    <xf numFmtId="168" fontId="16" fillId="33" borderId="56" xfId="1713" applyNumberFormat="1" applyFont="1" applyFill="1" applyBorder="1"/>
    <xf numFmtId="176" fontId="20" fillId="34" borderId="0" xfId="1314" applyFont="1" applyFill="1"/>
    <xf numFmtId="176" fontId="198" fillId="34" borderId="0" xfId="1314" applyFont="1" applyFill="1"/>
    <xf numFmtId="176" fontId="221" fillId="34" borderId="21" xfId="0" applyFont="1" applyFill="1" applyBorder="1"/>
    <xf numFmtId="176" fontId="219" fillId="34" borderId="21" xfId="1314" applyFont="1" applyFill="1" applyBorder="1"/>
    <xf numFmtId="168" fontId="221" fillId="34" borderId="21" xfId="1713" applyNumberFormat="1" applyFont="1" applyFill="1" applyBorder="1"/>
    <xf numFmtId="165" fontId="10" fillId="33" borderId="56" xfId="1713" applyFont="1" applyFill="1" applyBorder="1" applyAlignment="1">
      <alignment horizontal="right"/>
    </xf>
    <xf numFmtId="165" fontId="10" fillId="33" borderId="62" xfId="1713" applyFont="1" applyFill="1" applyBorder="1" applyAlignment="1">
      <alignment horizontal="right"/>
    </xf>
    <xf numFmtId="169" fontId="10" fillId="33" borderId="56" xfId="1397" applyNumberFormat="1" applyFont="1" applyFill="1" applyBorder="1" applyAlignment="1">
      <alignment horizontal="right"/>
    </xf>
    <xf numFmtId="168" fontId="3" fillId="33" borderId="0" xfId="0" applyNumberFormat="1" applyFont="1" applyFill="1"/>
    <xf numFmtId="168" fontId="10" fillId="0" borderId="21" xfId="0" applyNumberFormat="1" applyFont="1" applyBorder="1"/>
    <xf numFmtId="169" fontId="10" fillId="35" borderId="56" xfId="1397" applyNumberFormat="1" applyFont="1" applyFill="1" applyBorder="1" applyAlignment="1">
      <alignment horizontal="right"/>
    </xf>
    <xf numFmtId="176" fontId="204" fillId="0" borderId="0" xfId="1314" applyFont="1" applyAlignment="1">
      <alignment horizontal="center"/>
    </xf>
    <xf numFmtId="165" fontId="10" fillId="0" borderId="0" xfId="1713" applyFont="1" applyFill="1" applyBorder="1" applyAlignment="1">
      <alignment horizontal="right"/>
    </xf>
    <xf numFmtId="1" fontId="10" fillId="0" borderId="2" xfId="1713" applyNumberFormat="1" applyFont="1" applyBorder="1" applyAlignment="1">
      <alignment horizontal="left"/>
    </xf>
    <xf numFmtId="176" fontId="204" fillId="0" borderId="54" xfId="1314" applyFont="1" applyBorder="1" applyAlignment="1">
      <alignment horizontal="center"/>
    </xf>
    <xf numFmtId="176" fontId="204" fillId="0" borderId="21" xfId="1314" applyFont="1" applyBorder="1" applyAlignment="1">
      <alignment horizontal="center"/>
    </xf>
    <xf numFmtId="1" fontId="10" fillId="0" borderId="56" xfId="1713" applyNumberFormat="1" applyFont="1" applyBorder="1" applyAlignment="1">
      <alignment horizontal="left"/>
    </xf>
    <xf numFmtId="1" fontId="10" fillId="0" borderId="54" xfId="1713" applyNumberFormat="1" applyFont="1" applyBorder="1" applyAlignment="1">
      <alignment horizontal="left"/>
    </xf>
    <xf numFmtId="176" fontId="41" fillId="0" borderId="54" xfId="1314" applyBorder="1"/>
    <xf numFmtId="176" fontId="204" fillId="0" borderId="2" xfId="1314" applyFont="1" applyBorder="1" applyAlignment="1">
      <alignment horizontal="center"/>
    </xf>
    <xf numFmtId="168" fontId="3" fillId="33" borderId="54" xfId="0" applyNumberFormat="1" applyFont="1" applyFill="1" applyBorder="1"/>
    <xf numFmtId="165" fontId="10" fillId="0" borderId="56" xfId="1713" applyFont="1" applyFill="1" applyBorder="1" applyAlignment="1">
      <alignment horizontal="right"/>
    </xf>
    <xf numFmtId="167" fontId="10" fillId="0" borderId="2" xfId="1713" applyNumberFormat="1" applyFont="1" applyBorder="1" applyAlignment="1">
      <alignment horizontal="left"/>
    </xf>
    <xf numFmtId="1" fontId="10" fillId="0" borderId="56" xfId="1713" applyNumberFormat="1" applyFont="1" applyFill="1" applyBorder="1" applyAlignment="1">
      <alignment horizontal="left"/>
    </xf>
    <xf numFmtId="1" fontId="10" fillId="36" borderId="0" xfId="1713" applyNumberFormat="1" applyFont="1" applyFill="1" applyBorder="1" applyAlignment="1">
      <alignment horizontal="left"/>
    </xf>
    <xf numFmtId="176" fontId="41" fillId="36" borderId="0" xfId="1314" applyFill="1"/>
    <xf numFmtId="176" fontId="204" fillId="36" borderId="0" xfId="1314" applyFont="1" applyFill="1" applyAlignment="1">
      <alignment horizontal="center"/>
    </xf>
    <xf numFmtId="1" fontId="3" fillId="36" borderId="0" xfId="1713" applyNumberFormat="1" applyFont="1" applyFill="1" applyBorder="1" applyAlignment="1">
      <alignment horizontal="left"/>
    </xf>
    <xf numFmtId="167" fontId="10" fillId="36" borderId="0" xfId="1713" applyNumberFormat="1" applyFont="1" applyFill="1" applyBorder="1" applyAlignment="1">
      <alignment horizontal="left"/>
    </xf>
    <xf numFmtId="176" fontId="41" fillId="36" borderId="0" xfId="1314" applyFill="1" applyAlignment="1">
      <alignment horizontal="center"/>
    </xf>
    <xf numFmtId="176" fontId="16" fillId="0" borderId="2" xfId="0" applyFont="1" applyBorder="1" applyAlignment="1">
      <alignment horizontal="left" indent="1"/>
    </xf>
    <xf numFmtId="165" fontId="3" fillId="33" borderId="0" xfId="1713" applyFont="1" applyFill="1"/>
    <xf numFmtId="165" fontId="10" fillId="33" borderId="0" xfId="1314" applyNumberFormat="1" applyFont="1" applyFill="1"/>
    <xf numFmtId="165" fontId="3" fillId="33" borderId="0" xfId="1314" applyNumberFormat="1" applyFont="1" applyFill="1"/>
    <xf numFmtId="165" fontId="3" fillId="33" borderId="2" xfId="1314" applyNumberFormat="1" applyFont="1" applyFill="1" applyBorder="1"/>
    <xf numFmtId="165" fontId="10" fillId="33" borderId="56" xfId="1713" applyFont="1" applyFill="1" applyBorder="1"/>
    <xf numFmtId="165" fontId="10" fillId="33" borderId="56" xfId="1571" applyFont="1" applyFill="1" applyBorder="1"/>
    <xf numFmtId="9" fontId="10" fillId="0" borderId="0" xfId="1397" applyFont="1" applyFill="1" applyBorder="1"/>
    <xf numFmtId="165" fontId="41" fillId="33" borderId="56" xfId="1713" applyFont="1" applyFill="1" applyBorder="1"/>
    <xf numFmtId="165" fontId="41" fillId="33" borderId="56" xfId="1571" applyFont="1" applyFill="1" applyBorder="1"/>
    <xf numFmtId="176" fontId="204" fillId="0" borderId="0" xfId="1314" applyFont="1"/>
    <xf numFmtId="2" fontId="204" fillId="0" borderId="0" xfId="1314" applyNumberFormat="1" applyFont="1"/>
    <xf numFmtId="176" fontId="204" fillId="0" borderId="56" xfId="1314" applyFont="1" applyBorder="1"/>
    <xf numFmtId="10" fontId="10" fillId="33" borderId="56" xfId="1397" applyNumberFormat="1" applyFont="1" applyFill="1" applyBorder="1"/>
    <xf numFmtId="168" fontId="10" fillId="33" borderId="56" xfId="1713" applyNumberFormat="1" applyFont="1" applyFill="1" applyBorder="1" applyAlignment="1">
      <alignment horizontal="right"/>
    </xf>
    <xf numFmtId="168" fontId="10" fillId="33" borderId="56" xfId="1713" applyNumberFormat="1" applyFont="1" applyFill="1" applyBorder="1"/>
    <xf numFmtId="165" fontId="10" fillId="0" borderId="0" xfId="1713" quotePrefix="1" applyFont="1" applyFill="1" applyBorder="1" applyAlignment="1">
      <alignment horizontal="left"/>
    </xf>
    <xf numFmtId="176" fontId="3" fillId="0" borderId="0" xfId="1312" applyFont="1" applyAlignment="1">
      <alignment vertical="center" wrapText="1"/>
    </xf>
    <xf numFmtId="168" fontId="3" fillId="0" borderId="0" xfId="1312" applyNumberFormat="1" applyFont="1"/>
    <xf numFmtId="168" fontId="205" fillId="32" borderId="0" xfId="1713" applyNumberFormat="1" applyFont="1" applyFill="1"/>
    <xf numFmtId="168" fontId="205" fillId="32" borderId="0" xfId="1713" applyNumberFormat="1" applyFont="1" applyFill="1" applyBorder="1"/>
    <xf numFmtId="168" fontId="205" fillId="32" borderId="2" xfId="1713" applyNumberFormat="1" applyFont="1" applyFill="1" applyBorder="1"/>
    <xf numFmtId="168" fontId="10" fillId="33" borderId="62" xfId="1713" applyNumberFormat="1" applyFont="1" applyFill="1" applyBorder="1" applyAlignment="1">
      <alignment horizontal="right"/>
    </xf>
    <xf numFmtId="176" fontId="16" fillId="0" borderId="0" xfId="1313" applyFont="1" applyAlignment="1">
      <alignment vertical="center"/>
    </xf>
    <xf numFmtId="169" fontId="16" fillId="0" borderId="0" xfId="1397" applyNumberFormat="1" applyFont="1" applyAlignment="1">
      <alignment vertical="center"/>
    </xf>
    <xf numFmtId="168" fontId="3" fillId="32" borderId="0" xfId="0" applyNumberFormat="1" applyFont="1" applyFill="1"/>
    <xf numFmtId="168" fontId="10" fillId="32" borderId="0" xfId="0" applyNumberFormat="1" applyFont="1" applyFill="1"/>
    <xf numFmtId="168" fontId="3" fillId="33" borderId="0" xfId="1713" applyNumberFormat="1" applyFont="1" applyFill="1" applyBorder="1"/>
    <xf numFmtId="168" fontId="3" fillId="33" borderId="2" xfId="1713" applyNumberFormat="1" applyFont="1" applyFill="1" applyBorder="1"/>
    <xf numFmtId="168" fontId="10" fillId="33" borderId="0" xfId="1713" applyNumberFormat="1" applyFont="1" applyFill="1" applyBorder="1"/>
    <xf numFmtId="168" fontId="3" fillId="33" borderId="0" xfId="1571" applyNumberFormat="1" applyFont="1" applyFill="1" applyBorder="1"/>
    <xf numFmtId="168" fontId="10" fillId="33" borderId="2" xfId="1713" applyNumberFormat="1" applyFont="1" applyFill="1" applyBorder="1"/>
    <xf numFmtId="169" fontId="97" fillId="33" borderId="0" xfId="1397" applyNumberFormat="1" applyFont="1" applyFill="1" applyBorder="1"/>
    <xf numFmtId="165" fontId="3" fillId="33" borderId="0" xfId="1713" applyFont="1" applyFill="1" applyBorder="1"/>
    <xf numFmtId="168" fontId="10" fillId="33" borderId="21" xfId="1713" applyNumberFormat="1" applyFont="1" applyFill="1" applyBorder="1"/>
    <xf numFmtId="168" fontId="3" fillId="33" borderId="5" xfId="1713" applyNumberFormat="1" applyFont="1" applyFill="1" applyBorder="1"/>
    <xf numFmtId="9" fontId="3" fillId="33" borderId="0" xfId="1397" applyFont="1" applyFill="1" applyBorder="1"/>
    <xf numFmtId="10" fontId="3" fillId="33" borderId="0" xfId="1397" applyNumberFormat="1" applyFont="1" applyFill="1" applyBorder="1"/>
    <xf numFmtId="168" fontId="10" fillId="33" borderId="0" xfId="1713" applyNumberFormat="1" applyFont="1" applyFill="1" applyBorder="1" applyAlignment="1" applyProtection="1">
      <alignment horizontal="center"/>
    </xf>
    <xf numFmtId="176" fontId="3" fillId="33" borderId="0" xfId="0" applyFont="1" applyFill="1"/>
    <xf numFmtId="170" fontId="10" fillId="33" borderId="2" xfId="0" applyNumberFormat="1" applyFont="1" applyFill="1" applyBorder="1" applyAlignment="1">
      <alignment horizontal="right"/>
    </xf>
    <xf numFmtId="168" fontId="10" fillId="33" borderId="4" xfId="0" applyNumberFormat="1" applyFont="1" applyFill="1" applyBorder="1"/>
    <xf numFmtId="9" fontId="3" fillId="33" borderId="54" xfId="1397" applyFont="1" applyFill="1" applyBorder="1"/>
    <xf numFmtId="168" fontId="10" fillId="33" borderId="0" xfId="0" applyNumberFormat="1" applyFont="1" applyFill="1"/>
    <xf numFmtId="168" fontId="15" fillId="33" borderId="2" xfId="0" applyNumberFormat="1" applyFont="1" applyFill="1" applyBorder="1"/>
    <xf numFmtId="168" fontId="10" fillId="33" borderId="2" xfId="0" applyNumberFormat="1" applyFont="1" applyFill="1" applyBorder="1"/>
    <xf numFmtId="168" fontId="3" fillId="33" borderId="61" xfId="0" applyNumberFormat="1" applyFont="1" applyFill="1" applyBorder="1"/>
    <xf numFmtId="169" fontId="3" fillId="33" borderId="0" xfId="1397" applyNumberFormat="1" applyFont="1" applyFill="1" applyBorder="1"/>
    <xf numFmtId="176" fontId="10" fillId="36" borderId="2" xfId="0" applyFont="1" applyFill="1" applyBorder="1"/>
    <xf numFmtId="176" fontId="3" fillId="36" borderId="2" xfId="0" applyFont="1" applyFill="1" applyBorder="1" applyAlignment="1">
      <alignment horizontal="center"/>
    </xf>
    <xf numFmtId="168" fontId="10" fillId="36" borderId="2" xfId="0" applyNumberFormat="1" applyFont="1" applyFill="1" applyBorder="1"/>
    <xf numFmtId="176" fontId="10" fillId="36" borderId="4" xfId="0" applyFont="1" applyFill="1" applyBorder="1"/>
    <xf numFmtId="176" fontId="3" fillId="36" borderId="4" xfId="0" applyFont="1" applyFill="1" applyBorder="1" applyAlignment="1">
      <alignment horizontal="center"/>
    </xf>
    <xf numFmtId="168" fontId="10" fillId="36" borderId="4" xfId="0" applyNumberFormat="1" applyFont="1" applyFill="1" applyBorder="1"/>
    <xf numFmtId="176" fontId="3" fillId="36" borderId="54" xfId="0" applyFont="1" applyFill="1" applyBorder="1"/>
    <xf numFmtId="176" fontId="3" fillId="36" borderId="54" xfId="0" applyFont="1" applyFill="1" applyBorder="1" applyAlignment="1">
      <alignment horizontal="center"/>
    </xf>
    <xf numFmtId="169" fontId="3" fillId="36" borderId="54" xfId="1397" applyNumberFormat="1" applyFont="1" applyFill="1" applyBorder="1"/>
    <xf numFmtId="176" fontId="10" fillId="36" borderId="21" xfId="0" applyFont="1" applyFill="1" applyBorder="1"/>
    <xf numFmtId="176" fontId="3" fillId="36" borderId="21" xfId="0" applyFont="1" applyFill="1" applyBorder="1" applyAlignment="1">
      <alignment horizontal="center"/>
    </xf>
    <xf numFmtId="168" fontId="10" fillId="36" borderId="21" xfId="1713" applyNumberFormat="1" applyFont="1" applyFill="1" applyBorder="1"/>
    <xf numFmtId="10" fontId="20" fillId="26" borderId="0" xfId="1397" applyNumberFormat="1" applyFont="1" applyFill="1" applyAlignment="1">
      <alignment horizontal="right"/>
    </xf>
    <xf numFmtId="169" fontId="10" fillId="0" borderId="0" xfId="1397" applyNumberFormat="1" applyFont="1" applyFill="1" applyBorder="1"/>
    <xf numFmtId="168" fontId="10" fillId="0" borderId="2" xfId="1713" applyNumberFormat="1" applyFont="1" applyFill="1" applyBorder="1" applyAlignment="1">
      <alignment horizontal="left" vertical="center"/>
    </xf>
    <xf numFmtId="176" fontId="10" fillId="0" borderId="0" xfId="1314" applyFont="1" applyAlignment="1">
      <alignment vertical="center"/>
    </xf>
    <xf numFmtId="176" fontId="3" fillId="0" borderId="0" xfId="1314" applyFont="1" applyAlignment="1">
      <alignment vertical="center"/>
    </xf>
    <xf numFmtId="176" fontId="10" fillId="0" borderId="2" xfId="1314" applyFont="1" applyBorder="1" applyAlignment="1">
      <alignment vertical="center"/>
    </xf>
    <xf numFmtId="176" fontId="3" fillId="0" borderId="2" xfId="1314" applyFont="1" applyBorder="1" applyAlignment="1">
      <alignment vertical="center"/>
    </xf>
    <xf numFmtId="168" fontId="10" fillId="0" borderId="2" xfId="1314" applyNumberFormat="1" applyFont="1" applyBorder="1" applyAlignment="1">
      <alignment vertical="center"/>
    </xf>
    <xf numFmtId="168" fontId="3" fillId="0" borderId="0" xfId="1314" applyNumberFormat="1" applyFont="1" applyAlignment="1">
      <alignment vertical="center"/>
    </xf>
    <xf numFmtId="10" fontId="10" fillId="0" borderId="2" xfId="1397" applyNumberFormat="1" applyFont="1" applyBorder="1" applyAlignment="1">
      <alignment vertical="center"/>
    </xf>
    <xf numFmtId="168" fontId="10" fillId="0" borderId="0" xfId="1713" applyNumberFormat="1" applyFont="1" applyBorder="1" applyAlignment="1">
      <alignment vertical="center"/>
    </xf>
    <xf numFmtId="176" fontId="10" fillId="32" borderId="2" xfId="1314" applyFont="1" applyFill="1" applyBorder="1" applyAlignment="1">
      <alignment vertical="center"/>
    </xf>
    <xf numFmtId="176" fontId="3" fillId="32" borderId="2" xfId="1314" applyFont="1" applyFill="1" applyBorder="1" applyAlignment="1">
      <alignment vertical="center"/>
    </xf>
    <xf numFmtId="168" fontId="10" fillId="32" borderId="2" xfId="1314" applyNumberFormat="1" applyFont="1" applyFill="1" applyBorder="1" applyAlignment="1">
      <alignment vertical="center"/>
    </xf>
    <xf numFmtId="171" fontId="10" fillId="32" borderId="2" xfId="1713" applyNumberFormat="1" applyFont="1" applyFill="1" applyBorder="1" applyAlignment="1">
      <alignment horizontal="right" vertical="center"/>
    </xf>
    <xf numFmtId="176" fontId="3" fillId="32" borderId="0" xfId="1313" applyFont="1" applyFill="1"/>
    <xf numFmtId="168" fontId="3" fillId="32" borderId="0" xfId="1713" applyNumberFormat="1" applyFont="1" applyFill="1"/>
    <xf numFmtId="168" fontId="3" fillId="32" borderId="0" xfId="1713" applyNumberFormat="1" applyFont="1" applyFill="1" applyAlignment="1">
      <alignment vertical="center"/>
    </xf>
    <xf numFmtId="168" fontId="10" fillId="32" borderId="0" xfId="1313" applyNumberFormat="1" applyFont="1" applyFill="1" applyAlignment="1">
      <alignment vertical="center"/>
    </xf>
    <xf numFmtId="168" fontId="3" fillId="32" borderId="0" xfId="1313" applyNumberFormat="1" applyFont="1" applyFill="1" applyAlignment="1">
      <alignment vertical="center"/>
    </xf>
    <xf numFmtId="168" fontId="10" fillId="32" borderId="21" xfId="1713" applyNumberFormat="1" applyFont="1" applyFill="1" applyBorder="1" applyAlignment="1">
      <alignment vertical="center"/>
    </xf>
    <xf numFmtId="169" fontId="16" fillId="32" borderId="0" xfId="1397" applyNumberFormat="1" applyFont="1" applyFill="1" applyAlignment="1">
      <alignment vertical="center"/>
    </xf>
    <xf numFmtId="168" fontId="3" fillId="32" borderId="21" xfId="1713" applyNumberFormat="1" applyFont="1" applyFill="1" applyBorder="1" applyAlignment="1">
      <alignment vertical="center"/>
    </xf>
    <xf numFmtId="168" fontId="10" fillId="32" borderId="21" xfId="0" applyNumberFormat="1" applyFont="1" applyFill="1" applyBorder="1"/>
    <xf numFmtId="176" fontId="10" fillId="32" borderId="21" xfId="0" applyFont="1" applyFill="1" applyBorder="1"/>
    <xf numFmtId="171" fontId="10" fillId="0" borderId="2" xfId="1713" applyNumberFormat="1" applyFont="1" applyFill="1" applyBorder="1" applyAlignment="1">
      <alignment horizontal="center" vertical="center"/>
    </xf>
    <xf numFmtId="176" fontId="10" fillId="32" borderId="21" xfId="0" applyFont="1" applyFill="1" applyBorder="1" applyAlignment="1">
      <alignment horizontal="center"/>
    </xf>
    <xf numFmtId="176" fontId="3" fillId="32" borderId="21" xfId="0" applyFont="1" applyFill="1" applyBorder="1"/>
    <xf numFmtId="165" fontId="10" fillId="32" borderId="0" xfId="1713" applyFont="1" applyFill="1" applyAlignment="1">
      <alignment horizontal="left" vertical="center"/>
    </xf>
    <xf numFmtId="176" fontId="3" fillId="0" borderId="4" xfId="1312" applyFont="1" applyBorder="1"/>
    <xf numFmtId="168" fontId="3" fillId="0" borderId="4" xfId="1713" applyNumberFormat="1" applyFont="1" applyBorder="1"/>
    <xf numFmtId="168" fontId="3" fillId="33" borderId="2" xfId="1713" applyNumberFormat="1" applyFont="1" applyFill="1" applyBorder="1" applyAlignment="1">
      <alignment horizontal="center"/>
    </xf>
    <xf numFmtId="168" fontId="3" fillId="35" borderId="0" xfId="1713" applyNumberFormat="1" applyFont="1" applyFill="1" applyBorder="1"/>
    <xf numFmtId="168" fontId="3" fillId="35" borderId="2" xfId="1713" applyNumberFormat="1" applyFont="1" applyFill="1" applyBorder="1"/>
    <xf numFmtId="168" fontId="3" fillId="35" borderId="2" xfId="1713" applyNumberFormat="1" applyFont="1" applyFill="1" applyBorder="1" applyAlignment="1">
      <alignment horizontal="center"/>
    </xf>
    <xf numFmtId="176" fontId="222" fillId="34" borderId="0" xfId="1314" applyFont="1" applyFill="1"/>
    <xf numFmtId="169" fontId="10" fillId="33" borderId="56" xfId="1397" applyNumberFormat="1" applyFont="1" applyFill="1" applyBorder="1"/>
    <xf numFmtId="10" fontId="10" fillId="33" borderId="56" xfId="1397" applyNumberFormat="1" applyFont="1" applyFill="1" applyBorder="1" applyAlignment="1">
      <alignment horizontal="right"/>
    </xf>
    <xf numFmtId="169" fontId="204" fillId="33" borderId="56" xfId="1397" applyNumberFormat="1" applyFont="1" applyFill="1" applyBorder="1"/>
    <xf numFmtId="168" fontId="16" fillId="33" borderId="56" xfId="1713" applyNumberFormat="1" applyFont="1" applyFill="1" applyBorder="1" applyAlignment="1">
      <alignment vertical="center"/>
    </xf>
    <xf numFmtId="165" fontId="204" fillId="33" borderId="56" xfId="1713" applyFont="1" applyFill="1" applyBorder="1"/>
    <xf numFmtId="171" fontId="10" fillId="33" borderId="2" xfId="1713" applyNumberFormat="1" applyFont="1" applyFill="1" applyBorder="1" applyAlignment="1">
      <alignment horizontal="right" vertical="center"/>
    </xf>
    <xf numFmtId="176" fontId="0" fillId="33" borderId="0" xfId="0" applyFill="1"/>
    <xf numFmtId="168" fontId="3" fillId="35" borderId="56" xfId="1713" applyNumberFormat="1" applyFont="1" applyFill="1" applyBorder="1"/>
    <xf numFmtId="10" fontId="204" fillId="0" borderId="0" xfId="1397" applyNumberFormat="1" applyFont="1" applyBorder="1"/>
    <xf numFmtId="167" fontId="3" fillId="33" borderId="0" xfId="1713" applyNumberFormat="1" applyFont="1" applyFill="1" applyBorder="1" applyAlignment="1">
      <alignment vertical="center" wrapText="1"/>
    </xf>
    <xf numFmtId="167" fontId="3" fillId="33" borderId="2" xfId="1713" applyNumberFormat="1" applyFont="1" applyFill="1" applyBorder="1" applyAlignment="1">
      <alignment vertical="center" wrapText="1"/>
    </xf>
    <xf numFmtId="169" fontId="3" fillId="33" borderId="0" xfId="1397" applyNumberFormat="1" applyFont="1" applyFill="1" applyBorder="1" applyAlignment="1">
      <alignment vertical="center" wrapText="1"/>
    </xf>
    <xf numFmtId="169" fontId="3" fillId="33" borderId="2" xfId="1397" applyNumberFormat="1" applyFont="1" applyFill="1" applyBorder="1"/>
    <xf numFmtId="174" fontId="3" fillId="33" borderId="0" xfId="1313" applyNumberFormat="1" applyFont="1" applyFill="1"/>
    <xf numFmtId="165" fontId="3" fillId="33" borderId="2" xfId="1713" applyFont="1" applyFill="1" applyBorder="1"/>
    <xf numFmtId="2" fontId="10" fillId="0" borderId="2" xfId="0" applyNumberFormat="1" applyFont="1" applyBorder="1" applyAlignment="1">
      <alignment horizontal="center"/>
    </xf>
    <xf numFmtId="168" fontId="16" fillId="37" borderId="56" xfId="1713" applyNumberFormat="1" applyFont="1" applyFill="1" applyBorder="1"/>
    <xf numFmtId="168" fontId="16" fillId="37" borderId="56" xfId="1713" applyNumberFormat="1" applyFont="1" applyFill="1" applyBorder="1" applyAlignment="1">
      <alignment vertical="center"/>
    </xf>
    <xf numFmtId="168" fontId="3" fillId="37" borderId="54" xfId="0" applyNumberFormat="1" applyFont="1" applyFill="1" applyBorder="1"/>
    <xf numFmtId="165" fontId="3" fillId="37" borderId="0" xfId="1713" applyFont="1" applyFill="1"/>
    <xf numFmtId="165" fontId="3" fillId="37" borderId="0" xfId="1314" applyNumberFormat="1" applyFont="1" applyFill="1"/>
    <xf numFmtId="165" fontId="3" fillId="37" borderId="2" xfId="1314" applyNumberFormat="1" applyFont="1" applyFill="1" applyBorder="1"/>
    <xf numFmtId="165" fontId="10" fillId="37" borderId="56" xfId="1713" applyFont="1" applyFill="1" applyBorder="1"/>
    <xf numFmtId="169" fontId="10" fillId="37" borderId="56" xfId="1397" applyNumberFormat="1" applyFont="1" applyFill="1" applyBorder="1"/>
    <xf numFmtId="165" fontId="41" fillId="37" borderId="56" xfId="1713" applyFont="1" applyFill="1" applyBorder="1"/>
    <xf numFmtId="9" fontId="41" fillId="37" borderId="0" xfId="1397" applyFont="1" applyFill="1"/>
    <xf numFmtId="9" fontId="41" fillId="33" borderId="2" xfId="1314" applyNumberFormat="1" applyFill="1" applyBorder="1"/>
    <xf numFmtId="2" fontId="204" fillId="33" borderId="2" xfId="1314" applyNumberFormat="1" applyFont="1" applyFill="1" applyBorder="1"/>
    <xf numFmtId="9" fontId="41" fillId="33" borderId="0" xfId="1397" applyFont="1" applyFill="1"/>
    <xf numFmtId="9" fontId="41" fillId="33" borderId="0" xfId="1398" applyFont="1" applyFill="1"/>
    <xf numFmtId="169" fontId="41" fillId="37" borderId="56" xfId="1397" applyNumberFormat="1" applyFont="1" applyFill="1" applyBorder="1"/>
    <xf numFmtId="10" fontId="10" fillId="37" borderId="56" xfId="1397" applyNumberFormat="1" applyFont="1" applyFill="1" applyBorder="1"/>
    <xf numFmtId="168" fontId="10" fillId="37" borderId="56" xfId="1713" applyNumberFormat="1" applyFont="1" applyFill="1" applyBorder="1"/>
    <xf numFmtId="169" fontId="10" fillId="37" borderId="56" xfId="1397" applyNumberFormat="1" applyFont="1" applyFill="1" applyBorder="1" applyAlignment="1">
      <alignment horizontal="right"/>
    </xf>
    <xf numFmtId="10" fontId="10" fillId="37" borderId="56" xfId="1397" applyNumberFormat="1" applyFont="1" applyFill="1" applyBorder="1" applyAlignment="1">
      <alignment horizontal="right"/>
    </xf>
    <xf numFmtId="9" fontId="10" fillId="37" borderId="56" xfId="1397" applyFont="1" applyFill="1" applyBorder="1" applyAlignment="1">
      <alignment horizontal="right"/>
    </xf>
    <xf numFmtId="168" fontId="10" fillId="37" borderId="62" xfId="1713" applyNumberFormat="1" applyFont="1" applyFill="1" applyBorder="1" applyAlignment="1">
      <alignment horizontal="right"/>
    </xf>
    <xf numFmtId="169" fontId="10" fillId="0" borderId="56" xfId="1397" applyNumberFormat="1" applyFont="1" applyFill="1" applyBorder="1" applyAlignment="1">
      <alignment horizontal="right"/>
    </xf>
    <xf numFmtId="165" fontId="41" fillId="33" borderId="0" xfId="1713" applyFont="1" applyFill="1"/>
    <xf numFmtId="165" fontId="41" fillId="37" borderId="0" xfId="1713" applyFont="1" applyFill="1"/>
    <xf numFmtId="165" fontId="41" fillId="33" borderId="2" xfId="1713" applyFont="1" applyFill="1" applyBorder="1"/>
    <xf numFmtId="165" fontId="41" fillId="37" borderId="2" xfId="1713" applyFont="1" applyFill="1" applyBorder="1"/>
    <xf numFmtId="10" fontId="3" fillId="37" borderId="63" xfId="1397" applyNumberFormat="1" applyFont="1" applyFill="1" applyBorder="1"/>
    <xf numFmtId="10" fontId="3" fillId="37" borderId="64" xfId="1397" applyNumberFormat="1" applyFont="1" applyFill="1" applyBorder="1"/>
    <xf numFmtId="10" fontId="3" fillId="37" borderId="65" xfId="1397" applyNumberFormat="1" applyFont="1" applyFill="1" applyBorder="1"/>
    <xf numFmtId="176" fontId="10" fillId="33" borderId="58" xfId="1312" applyFont="1" applyFill="1" applyBorder="1"/>
    <xf numFmtId="176" fontId="10" fillId="33" borderId="59" xfId="1312" applyFont="1" applyFill="1" applyBorder="1"/>
    <xf numFmtId="183" fontId="10" fillId="33" borderId="66" xfId="1312" applyNumberFormat="1" applyFont="1" applyFill="1" applyBorder="1"/>
    <xf numFmtId="6" fontId="41" fillId="0" borderId="0" xfId="1314" quotePrefix="1" applyNumberFormat="1" applyAlignment="1">
      <alignment horizontal="right"/>
    </xf>
    <xf numFmtId="6" fontId="41" fillId="0" borderId="0" xfId="1314" quotePrefix="1" applyNumberFormat="1" applyAlignment="1">
      <alignment horizontal="center"/>
    </xf>
    <xf numFmtId="10" fontId="10" fillId="33" borderId="0" xfId="1397" applyNumberFormat="1" applyFont="1" applyFill="1"/>
    <xf numFmtId="10" fontId="3" fillId="33" borderId="0" xfId="1397" applyNumberFormat="1" applyFont="1" applyFill="1"/>
    <xf numFmtId="176" fontId="20" fillId="34" borderId="0" xfId="1312" applyFont="1" applyFill="1" applyAlignment="1">
      <alignment horizontal="left"/>
    </xf>
    <xf numFmtId="10" fontId="3" fillId="0" borderId="0" xfId="1312" applyNumberFormat="1" applyFont="1"/>
    <xf numFmtId="176" fontId="3" fillId="33" borderId="21" xfId="1312" applyFont="1" applyFill="1" applyBorder="1"/>
    <xf numFmtId="168" fontId="3" fillId="33" borderId="21" xfId="1713" applyNumberFormat="1" applyFont="1" applyFill="1" applyBorder="1"/>
    <xf numFmtId="176" fontId="3" fillId="33" borderId="0" xfId="1312" applyFont="1" applyFill="1"/>
    <xf numFmtId="166" fontId="3" fillId="33" borderId="0" xfId="1312" applyNumberFormat="1" applyFont="1" applyFill="1"/>
    <xf numFmtId="10" fontId="10" fillId="33" borderId="0" xfId="1397" applyNumberFormat="1" applyFont="1" applyFill="1" applyBorder="1"/>
    <xf numFmtId="168" fontId="3" fillId="37" borderId="56" xfId="1713" applyNumberFormat="1" applyFont="1" applyFill="1" applyBorder="1"/>
    <xf numFmtId="169" fontId="3" fillId="37" borderId="56" xfId="1397" applyNumberFormat="1" applyFont="1" applyFill="1" applyBorder="1"/>
    <xf numFmtId="168" fontId="3" fillId="33" borderId="56" xfId="1713" applyNumberFormat="1" applyFont="1" applyFill="1" applyBorder="1"/>
    <xf numFmtId="169" fontId="16" fillId="33" borderId="56" xfId="1397" applyNumberFormat="1" applyFont="1" applyFill="1" applyBorder="1" applyAlignment="1">
      <alignment vertical="center"/>
    </xf>
    <xf numFmtId="168" fontId="10" fillId="37" borderId="0" xfId="1713" applyNumberFormat="1" applyFont="1" applyFill="1" applyBorder="1"/>
    <xf numFmtId="169" fontId="3" fillId="33" borderId="56" xfId="1397" applyNumberFormat="1" applyFont="1" applyFill="1" applyBorder="1"/>
    <xf numFmtId="168" fontId="3" fillId="0" borderId="21" xfId="1713" applyNumberFormat="1" applyFont="1" applyFill="1" applyBorder="1" applyAlignment="1">
      <alignment vertical="center"/>
    </xf>
    <xf numFmtId="165" fontId="3" fillId="33" borderId="56" xfId="1713" applyFont="1" applyFill="1" applyBorder="1"/>
    <xf numFmtId="176" fontId="216" fillId="0" borderId="0" xfId="0" applyFont="1"/>
    <xf numFmtId="176" fontId="10" fillId="37" borderId="56" xfId="0" applyFont="1" applyFill="1" applyBorder="1"/>
    <xf numFmtId="176" fontId="10" fillId="37" borderId="56" xfId="0" applyFont="1" applyFill="1" applyBorder="1" applyAlignment="1">
      <alignment horizontal="center"/>
    </xf>
    <xf numFmtId="176" fontId="3" fillId="37" borderId="56" xfId="0" applyFont="1" applyFill="1" applyBorder="1"/>
    <xf numFmtId="176" fontId="3" fillId="37" borderId="56" xfId="0" applyFont="1" applyFill="1" applyBorder="1" applyAlignment="1">
      <alignment horizontal="center"/>
    </xf>
    <xf numFmtId="168" fontId="15" fillId="37" borderId="56" xfId="0" applyNumberFormat="1" applyFont="1" applyFill="1" applyBorder="1"/>
    <xf numFmtId="168" fontId="3" fillId="37" borderId="56" xfId="0" applyNumberFormat="1" applyFont="1" applyFill="1" applyBorder="1"/>
    <xf numFmtId="176" fontId="10" fillId="32" borderId="2" xfId="0" applyFont="1" applyFill="1" applyBorder="1"/>
    <xf numFmtId="176" fontId="10" fillId="32" borderId="2" xfId="0" applyFont="1" applyFill="1" applyBorder="1" applyAlignment="1">
      <alignment horizontal="center"/>
    </xf>
    <xf numFmtId="176" fontId="3" fillId="32" borderId="2" xfId="0" applyFont="1" applyFill="1" applyBorder="1"/>
    <xf numFmtId="168" fontId="10" fillId="32" borderId="2" xfId="0" applyNumberFormat="1" applyFont="1" applyFill="1" applyBorder="1"/>
    <xf numFmtId="169" fontId="3" fillId="0" borderId="0" xfId="1397" applyNumberFormat="1" applyFont="1"/>
    <xf numFmtId="169" fontId="3" fillId="0" borderId="0" xfId="1398" applyNumberFormat="1" applyFont="1"/>
    <xf numFmtId="169" fontId="3" fillId="0" borderId="0" xfId="0" applyNumberFormat="1" applyFont="1"/>
    <xf numFmtId="176" fontId="224" fillId="32" borderId="0" xfId="0" applyFont="1" applyFill="1"/>
    <xf numFmtId="176" fontId="0" fillId="32" borderId="0" xfId="0" applyFill="1"/>
    <xf numFmtId="176" fontId="213" fillId="32" borderId="0" xfId="0" applyFont="1" applyFill="1" applyAlignment="1">
      <alignment vertical="center"/>
    </xf>
    <xf numFmtId="176" fontId="2" fillId="32" borderId="0" xfId="0" applyFont="1" applyFill="1"/>
    <xf numFmtId="176" fontId="215" fillId="32" borderId="0" xfId="0" applyFont="1" applyFill="1"/>
    <xf numFmtId="176" fontId="4" fillId="32" borderId="0" xfId="1159" applyFill="1" applyAlignment="1" applyProtection="1"/>
    <xf numFmtId="176" fontId="216" fillId="32" borderId="0" xfId="0" applyFont="1" applyFill="1"/>
    <xf numFmtId="176" fontId="217" fillId="32" borderId="0" xfId="1159" applyFont="1" applyFill="1" applyAlignment="1" applyProtection="1"/>
    <xf numFmtId="176" fontId="225" fillId="32" borderId="0" xfId="0" applyFont="1" applyFill="1"/>
    <xf numFmtId="176" fontId="6" fillId="32" borderId="0" xfId="0" applyFont="1" applyFill="1"/>
    <xf numFmtId="165" fontId="3" fillId="0" borderId="54" xfId="1314" applyNumberFormat="1" applyFont="1" applyBorder="1"/>
    <xf numFmtId="10" fontId="10" fillId="0" borderId="0" xfId="1397" applyNumberFormat="1" applyFont="1" applyFill="1" applyBorder="1" applyAlignment="1">
      <alignment horizontal="right"/>
    </xf>
    <xf numFmtId="168" fontId="3" fillId="0" borderId="0" xfId="1713" applyNumberFormat="1" applyFont="1" applyFill="1" applyAlignment="1">
      <alignment vertical="center"/>
    </xf>
    <xf numFmtId="176" fontId="10" fillId="0" borderId="0" xfId="1314" applyFont="1" applyAlignment="1">
      <alignment horizontal="right"/>
    </xf>
    <xf numFmtId="165" fontId="10" fillId="37" borderId="0" xfId="1713" applyFont="1" applyFill="1"/>
    <xf numFmtId="176" fontId="43" fillId="0" borderId="0" xfId="1314" applyFont="1"/>
    <xf numFmtId="176" fontId="41" fillId="0" borderId="0" xfId="1314" applyAlignment="1">
      <alignment horizontal="center"/>
    </xf>
    <xf numFmtId="176" fontId="41" fillId="0" borderId="2" xfId="1314" applyBorder="1" applyAlignment="1">
      <alignment horizontal="center"/>
    </xf>
    <xf numFmtId="176" fontId="41" fillId="38" borderId="0" xfId="1314" applyFill="1"/>
    <xf numFmtId="0" fontId="10" fillId="0" borderId="21" xfId="1713" applyNumberFormat="1" applyFont="1" applyFill="1" applyBorder="1" applyAlignment="1">
      <alignment horizontal="right" vertical="center"/>
    </xf>
    <xf numFmtId="0" fontId="10" fillId="0" borderId="2" xfId="1713" applyNumberFormat="1" applyFont="1" applyFill="1" applyBorder="1" applyAlignment="1">
      <alignment horizontal="right" vertical="center"/>
    </xf>
    <xf numFmtId="0" fontId="10" fillId="0" borderId="0" xfId="1713" applyNumberFormat="1" applyFont="1" applyFill="1" applyBorder="1" applyAlignment="1">
      <alignment horizontal="right" vertical="center"/>
    </xf>
    <xf numFmtId="1" fontId="10" fillId="38" borderId="0" xfId="1713" applyNumberFormat="1" applyFont="1" applyFill="1" applyBorder="1" applyAlignment="1">
      <alignment horizontal="left"/>
    </xf>
    <xf numFmtId="168" fontId="41" fillId="36" borderId="0" xfId="1713" applyNumberFormat="1" applyFont="1" applyFill="1" applyBorder="1" applyAlignment="1">
      <alignment horizontal="center"/>
    </xf>
    <xf numFmtId="168" fontId="3" fillId="32" borderId="0" xfId="1713" applyNumberFormat="1" applyFont="1" applyFill="1" applyBorder="1"/>
    <xf numFmtId="168" fontId="3" fillId="32" borderId="2" xfId="1713" applyNumberFormat="1" applyFont="1" applyFill="1" applyBorder="1"/>
    <xf numFmtId="0" fontId="10" fillId="33" borderId="21" xfId="1713" applyNumberFormat="1" applyFont="1" applyFill="1" applyBorder="1" applyAlignment="1">
      <alignment horizontal="right" vertical="center"/>
    </xf>
    <xf numFmtId="0" fontId="10" fillId="0" borderId="0" xfId="1309" applyNumberFormat="1" applyFont="1"/>
    <xf numFmtId="0" fontId="16" fillId="7" borderId="21" xfId="1313" applyNumberFormat="1" applyFont="1" applyFill="1" applyBorder="1"/>
    <xf numFmtId="0" fontId="10" fillId="32" borderId="21" xfId="1713" applyNumberFormat="1" applyFont="1" applyFill="1" applyBorder="1" applyAlignment="1">
      <alignment horizontal="right" vertical="center"/>
    </xf>
    <xf numFmtId="0" fontId="3" fillId="0" borderId="0" xfId="1313" applyNumberFormat="1" applyFont="1"/>
    <xf numFmtId="0" fontId="0" fillId="0" borderId="0" xfId="0" applyNumberFormat="1"/>
    <xf numFmtId="0" fontId="7" fillId="0" borderId="21" xfId="1713" applyNumberFormat="1" applyFont="1" applyFill="1" applyBorder="1" applyAlignment="1">
      <alignment horizontal="left" vertical="center"/>
    </xf>
    <xf numFmtId="0" fontId="10" fillId="0" borderId="21" xfId="1713" applyNumberFormat="1" applyFont="1" applyFill="1" applyBorder="1" applyAlignment="1">
      <alignment horizontal="left" vertical="center"/>
    </xf>
    <xf numFmtId="0" fontId="0" fillId="0" borderId="21" xfId="0" applyNumberFormat="1" applyBorder="1" applyAlignment="1">
      <alignment horizontal="center"/>
    </xf>
    <xf numFmtId="0" fontId="40" fillId="0" borderId="0" xfId="1311" applyNumberFormat="1" applyFont="1"/>
    <xf numFmtId="0" fontId="40" fillId="0" borderId="0" xfId="1313" applyNumberFormat="1" applyFont="1"/>
    <xf numFmtId="0" fontId="3" fillId="0" borderId="0" xfId="1713" applyNumberFormat="1" applyFont="1"/>
    <xf numFmtId="0" fontId="3" fillId="0" borderId="0" xfId="0" applyNumberFormat="1" applyFont="1" applyAlignment="1">
      <alignment horizontal="left"/>
    </xf>
    <xf numFmtId="0" fontId="3" fillId="7" borderId="0" xfId="1713" applyNumberFormat="1" applyFont="1" applyFill="1" applyBorder="1" applyAlignment="1">
      <alignment horizontal="center"/>
    </xf>
    <xf numFmtId="176" fontId="221" fillId="38" borderId="0" xfId="0" applyFont="1" applyFill="1"/>
    <xf numFmtId="176" fontId="221" fillId="38" borderId="0" xfId="0" applyFont="1" applyFill="1" applyAlignment="1">
      <alignment horizontal="center"/>
    </xf>
    <xf numFmtId="176" fontId="219" fillId="38" borderId="0" xfId="1314" applyFont="1" applyFill="1" applyAlignment="1">
      <alignment horizontal="right"/>
    </xf>
    <xf numFmtId="168" fontId="221" fillId="38" borderId="0" xfId="0" applyNumberFormat="1" applyFont="1" applyFill="1"/>
    <xf numFmtId="176" fontId="226" fillId="38" borderId="0" xfId="1314" applyFont="1" applyFill="1"/>
    <xf numFmtId="9" fontId="16" fillId="37" borderId="56" xfId="1397" applyFont="1" applyFill="1" applyBorder="1"/>
    <xf numFmtId="165" fontId="10" fillId="37" borderId="0" xfId="1314" applyNumberFormat="1" applyFont="1" applyFill="1"/>
    <xf numFmtId="165" fontId="10" fillId="37" borderId="0" xfId="1713" applyFont="1" applyFill="1" applyBorder="1"/>
    <xf numFmtId="9" fontId="41" fillId="37" borderId="2" xfId="1314" applyNumberFormat="1" applyFill="1" applyBorder="1"/>
    <xf numFmtId="2" fontId="204" fillId="37" borderId="2" xfId="1314" applyNumberFormat="1" applyFont="1" applyFill="1" applyBorder="1"/>
    <xf numFmtId="168" fontId="10" fillId="37" borderId="56" xfId="1713" applyNumberFormat="1" applyFont="1" applyFill="1" applyBorder="1" applyAlignment="1">
      <alignment horizontal="right"/>
    </xf>
    <xf numFmtId="169" fontId="10" fillId="37" borderId="62" xfId="1397" applyNumberFormat="1" applyFont="1" applyFill="1" applyBorder="1" applyAlignment="1">
      <alignment horizontal="right"/>
    </xf>
    <xf numFmtId="9" fontId="16" fillId="33" borderId="56" xfId="1397" applyFont="1" applyFill="1" applyBorder="1"/>
    <xf numFmtId="165" fontId="10" fillId="33" borderId="0" xfId="1713" applyFont="1" applyFill="1"/>
    <xf numFmtId="10" fontId="229" fillId="33" borderId="56" xfId="1397" applyNumberFormat="1" applyFont="1" applyFill="1" applyBorder="1" applyAlignment="1">
      <alignment horizontal="right"/>
    </xf>
    <xf numFmtId="10" fontId="229" fillId="33" borderId="56" xfId="1397" applyNumberFormat="1" applyFont="1" applyFill="1" applyBorder="1"/>
    <xf numFmtId="176" fontId="223" fillId="34" borderId="0" xfId="0" applyFont="1" applyFill="1" applyAlignment="1">
      <alignment horizontal="center" vertical="center"/>
    </xf>
  </cellXfs>
  <cellStyles count="1733">
    <cellStyle name="_x0013_" xfId="1" xr:uid="{00000000-0005-0000-0000-000000000000}"/>
    <cellStyle name="_x000a_386grabber=M" xfId="2" xr:uid="{00000000-0005-0000-0000-000001000000}"/>
    <cellStyle name="$" xfId="3" xr:uid="{00000000-0005-0000-0000-000002000000}"/>
    <cellStyle name="$m" xfId="4" xr:uid="{00000000-0005-0000-0000-000003000000}"/>
    <cellStyle name="$q" xfId="5" xr:uid="{00000000-0005-0000-0000-000004000000}"/>
    <cellStyle name="$q*" xfId="6" xr:uid="{00000000-0005-0000-0000-000005000000}"/>
    <cellStyle name="$q_AVP" xfId="7" xr:uid="{00000000-0005-0000-0000-000006000000}"/>
    <cellStyle name="$qA" xfId="8" xr:uid="{00000000-0005-0000-0000-000007000000}"/>
    <cellStyle name="$qRange" xfId="9" xr:uid="{00000000-0005-0000-0000-000008000000}"/>
    <cellStyle name="******************************************" xfId="10" xr:uid="{00000000-0005-0000-0000-000009000000}"/>
    <cellStyle name=";ome" xfId="11" xr:uid="{00000000-0005-0000-0000-00000A000000}"/>
    <cellStyle name="_~1445599" xfId="12" xr:uid="{00000000-0005-0000-0000-00000B000000}"/>
    <cellStyle name="_AllocInt" xfId="13" xr:uid="{00000000-0005-0000-0000-00000C000000}"/>
    <cellStyle name="_AllocInt_Copy of CNL Consolidated model_v.FPL_v37" xfId="14" xr:uid="{00000000-0005-0000-0000-00000D000000}"/>
    <cellStyle name="_AllocInt_Copy of CNL Consolidated model_v.FPL_v37_Exelon Power Fuel Forecast - Project P 6-11-2004 ver21" xfId="15" xr:uid="{00000000-0005-0000-0000-00000E000000}"/>
    <cellStyle name="_AllocInt_Copy of CNL Consolidated model_v.FPL_v37_ML Outputs" xfId="16" xr:uid="{00000000-0005-0000-0000-00000F000000}"/>
    <cellStyle name="_AllocInt_Copy of CNL Consolidated model_v.FPL_v37_Project Forest Pro Forma Model v58" xfId="17" xr:uid="{00000000-0005-0000-0000-000010000000}"/>
    <cellStyle name="_AllocInt_D_Consolidated2" xfId="18" xr:uid="{00000000-0005-0000-0000-000011000000}"/>
    <cellStyle name="_AllocInt_Model v9.8" xfId="19" xr:uid="{00000000-0005-0000-0000-000012000000}"/>
    <cellStyle name="_AllocInt_Mutilples Template2" xfId="20" xr:uid="{00000000-0005-0000-0000-000013000000}"/>
    <cellStyle name="_AllocInt_Mutilples Template2_Exelon Power Fuel Forecast - Project P 6-11-2004 ver21" xfId="21" xr:uid="{00000000-0005-0000-0000-000014000000}"/>
    <cellStyle name="_AllocInt_Mutilples Template2_ML Outputs" xfId="22" xr:uid="{00000000-0005-0000-0000-000015000000}"/>
    <cellStyle name="_AllocInt_Mutilples Template2_Project Forest Pro Forma Model v58" xfId="23" xr:uid="{00000000-0005-0000-0000-000016000000}"/>
    <cellStyle name="_AllocInt_pom consolidated v3" xfId="24" xr:uid="{00000000-0005-0000-0000-000017000000}"/>
    <cellStyle name="_AllocInt_pom consolidated v3_Exelon Power Fuel Forecast - Project P 6-11-2004 ver21" xfId="25" xr:uid="{00000000-0005-0000-0000-000018000000}"/>
    <cellStyle name="_AllocInt_pom consolidated v3_ML Outputs" xfId="26" xr:uid="{00000000-0005-0000-0000-000019000000}"/>
    <cellStyle name="_AllocInt_pom consolidated v3_Project Forest Pro Forma Model v58" xfId="27" xr:uid="{00000000-0005-0000-0000-00001A000000}"/>
    <cellStyle name="_Archer TD 1000MW 05-15-00" xfId="28" xr:uid="{00000000-0005-0000-0000-00001B000000}"/>
    <cellStyle name="_Archer TD 1000MW 05-15-00_Copy of CNL Consolidated model_v.FPL_v37" xfId="29" xr:uid="{00000000-0005-0000-0000-00001C000000}"/>
    <cellStyle name="_Archer TD 1000MW 05-15-00_Copy of CNL Consolidated model_v.FPL_v37_Exelon Power Fuel Forecast - Project P 6-11-2004 ver21" xfId="30" xr:uid="{00000000-0005-0000-0000-00001D000000}"/>
    <cellStyle name="_Archer TD 1000MW 05-15-00_Copy of CNL Consolidated model_v.FPL_v37_ML Outputs" xfId="31" xr:uid="{00000000-0005-0000-0000-00001E000000}"/>
    <cellStyle name="_Archer TD 1000MW 05-15-00_Copy of CNL Consolidated model_v.FPL_v37_Project Forest Pro Forma Model v58" xfId="32" xr:uid="{00000000-0005-0000-0000-00001F000000}"/>
    <cellStyle name="_Archer TD 1000MW 05-15-00_D_Consolidated2" xfId="33" xr:uid="{00000000-0005-0000-0000-000020000000}"/>
    <cellStyle name="_Archer TD 1000MW 05-15-00_Model v9.8" xfId="34" xr:uid="{00000000-0005-0000-0000-000021000000}"/>
    <cellStyle name="_Archer TD 1000MW 05-15-00_Mutilples Template2" xfId="35" xr:uid="{00000000-0005-0000-0000-000022000000}"/>
    <cellStyle name="_Archer TD 1000MW 05-15-00_Mutilples Template2_Exelon Power Fuel Forecast - Project P 6-11-2004 ver21" xfId="36" xr:uid="{00000000-0005-0000-0000-000023000000}"/>
    <cellStyle name="_Archer TD 1000MW 05-15-00_Mutilples Template2_ML Outputs" xfId="37" xr:uid="{00000000-0005-0000-0000-000024000000}"/>
    <cellStyle name="_Archer TD 1000MW 05-15-00_Mutilples Template2_Project Forest Pro Forma Model v58" xfId="38" xr:uid="{00000000-0005-0000-0000-000025000000}"/>
    <cellStyle name="_Archer TD 1000MW 05-15-00_pom consolidated v3" xfId="39" xr:uid="{00000000-0005-0000-0000-000026000000}"/>
    <cellStyle name="_Archer TD 1000MW 05-15-00_pom consolidated v3_Exelon Power Fuel Forecast - Project P 6-11-2004 ver21" xfId="40" xr:uid="{00000000-0005-0000-0000-000027000000}"/>
    <cellStyle name="_Archer TD 1000MW 05-15-00_pom consolidated v3_ML Outputs" xfId="41" xr:uid="{00000000-0005-0000-0000-000028000000}"/>
    <cellStyle name="_Archer TD 1000MW 05-15-00_pom consolidated v3_Project Forest Pro Forma Model v58" xfId="42" xr:uid="{00000000-0005-0000-0000-000029000000}"/>
    <cellStyle name="_Bayonne Breakage" xfId="43" xr:uid="{00000000-0005-0000-0000-00002A000000}"/>
    <cellStyle name="_Bayonne Breakage_Copy of CNL Consolidated model_v.FPL_v37" xfId="44" xr:uid="{00000000-0005-0000-0000-00002B000000}"/>
    <cellStyle name="_Bayonne Breakage_Copy of CNL Consolidated model_v.FPL_v37_Exelon Power Fuel Forecast - Project P 6-11-2004 ver21" xfId="45" xr:uid="{00000000-0005-0000-0000-00002C000000}"/>
    <cellStyle name="_Bayonne Breakage_Copy of CNL Consolidated model_v.FPL_v37_ML Outputs" xfId="46" xr:uid="{00000000-0005-0000-0000-00002D000000}"/>
    <cellStyle name="_Bayonne Breakage_Copy of CNL Consolidated model_v.FPL_v37_Project Forest Pro Forma Model v58" xfId="47" xr:uid="{00000000-0005-0000-0000-00002E000000}"/>
    <cellStyle name="_Bayonne Breakage_D_Consolidated2" xfId="48" xr:uid="{00000000-0005-0000-0000-00002F000000}"/>
    <cellStyle name="_Bayonne Breakage_Model v9.8" xfId="49" xr:uid="{00000000-0005-0000-0000-000030000000}"/>
    <cellStyle name="_Bayonne Breakage_Mutilples Template2" xfId="50" xr:uid="{00000000-0005-0000-0000-000031000000}"/>
    <cellStyle name="_Bayonne Breakage_Mutilples Template2_Exelon Power Fuel Forecast - Project P 6-11-2004 ver21" xfId="51" xr:uid="{00000000-0005-0000-0000-000032000000}"/>
    <cellStyle name="_Bayonne Breakage_Mutilples Template2_ML Outputs" xfId="52" xr:uid="{00000000-0005-0000-0000-000033000000}"/>
    <cellStyle name="_Bayonne Breakage_Mutilples Template2_Project Forest Pro Forma Model v58" xfId="53" xr:uid="{00000000-0005-0000-0000-000034000000}"/>
    <cellStyle name="_Bayonne Breakage_pom consolidated v3" xfId="54" xr:uid="{00000000-0005-0000-0000-000035000000}"/>
    <cellStyle name="_Bayonne Breakage_pom consolidated v3_Exelon Power Fuel Forecast - Project P 6-11-2004 ver21" xfId="55" xr:uid="{00000000-0005-0000-0000-000036000000}"/>
    <cellStyle name="_Bayonne Breakage_pom consolidated v3_ML Outputs" xfId="56" xr:uid="{00000000-0005-0000-0000-000037000000}"/>
    <cellStyle name="_Bayonne Breakage_pom consolidated v3_Project Forest Pro Forma Model v58" xfId="57" xr:uid="{00000000-0005-0000-0000-000038000000}"/>
    <cellStyle name="_Bayonne Restructure 2-9-01" xfId="58" xr:uid="{00000000-0005-0000-0000-000039000000}"/>
    <cellStyle name="_Bayonne Restructure 2-9-01_Copy of CNL Consolidated model_v.FPL_v37" xfId="59" xr:uid="{00000000-0005-0000-0000-00003A000000}"/>
    <cellStyle name="_Bayonne Restructure 2-9-01_Copy of CNL Consolidated model_v.FPL_v37_Exelon Power Fuel Forecast - Project P 6-11-2004 ver21" xfId="60" xr:uid="{00000000-0005-0000-0000-00003B000000}"/>
    <cellStyle name="_Bayonne Restructure 2-9-01_Copy of CNL Consolidated model_v.FPL_v37_ML Outputs" xfId="61" xr:uid="{00000000-0005-0000-0000-00003C000000}"/>
    <cellStyle name="_Bayonne Restructure 2-9-01_Copy of CNL Consolidated model_v.FPL_v37_Project Forest Pro Forma Model v58" xfId="62" xr:uid="{00000000-0005-0000-0000-00003D000000}"/>
    <cellStyle name="_Bayonne Restructure 2-9-01_D_Consolidated2" xfId="63" xr:uid="{00000000-0005-0000-0000-00003E000000}"/>
    <cellStyle name="_Bayonne Restructure 2-9-01_Model v9.8" xfId="64" xr:uid="{00000000-0005-0000-0000-00003F000000}"/>
    <cellStyle name="_Bayonne Restructure 2-9-01_Mutilples Template2" xfId="65" xr:uid="{00000000-0005-0000-0000-000040000000}"/>
    <cellStyle name="_Bayonne Restructure 2-9-01_Mutilples Template2_Exelon Power Fuel Forecast - Project P 6-11-2004 ver21" xfId="66" xr:uid="{00000000-0005-0000-0000-000041000000}"/>
    <cellStyle name="_Bayonne Restructure 2-9-01_Mutilples Template2_ML Outputs" xfId="67" xr:uid="{00000000-0005-0000-0000-000042000000}"/>
    <cellStyle name="_Bayonne Restructure 2-9-01_Mutilples Template2_Project Forest Pro Forma Model v58" xfId="68" xr:uid="{00000000-0005-0000-0000-000043000000}"/>
    <cellStyle name="_Bayonne Restructure 2-9-01_pom consolidated v3" xfId="69" xr:uid="{00000000-0005-0000-0000-000044000000}"/>
    <cellStyle name="_Bayonne Restructure 2-9-01_pom consolidated v3_Exelon Power Fuel Forecast - Project P 6-11-2004 ver21" xfId="70" xr:uid="{00000000-0005-0000-0000-000045000000}"/>
    <cellStyle name="_Bayonne Restructure 2-9-01_pom consolidated v3_ML Outputs" xfId="71" xr:uid="{00000000-0005-0000-0000-000046000000}"/>
    <cellStyle name="_Bayonne Restructure 2-9-01_pom consolidated v3_Project Forest Pro Forma Model v58" xfId="72" xr:uid="{00000000-0005-0000-0000-000047000000}"/>
    <cellStyle name="_Bayonne Restructuring 10-17" xfId="73" xr:uid="{00000000-0005-0000-0000-000048000000}"/>
    <cellStyle name="_Bayonne Restructuring 10-17_Copy of CNL Consolidated model_v.FPL_v37" xfId="74" xr:uid="{00000000-0005-0000-0000-000049000000}"/>
    <cellStyle name="_Bayonne Restructuring 10-17_Copy of CNL Consolidated model_v.FPL_v37_Exelon Power Fuel Forecast - Project P 6-11-2004 ver21" xfId="75" xr:uid="{00000000-0005-0000-0000-00004A000000}"/>
    <cellStyle name="_Bayonne Restructuring 10-17_Copy of CNL Consolidated model_v.FPL_v37_ML Outputs" xfId="76" xr:uid="{00000000-0005-0000-0000-00004B000000}"/>
    <cellStyle name="_Bayonne Restructuring 10-17_Copy of CNL Consolidated model_v.FPL_v37_Project Forest Pro Forma Model v58" xfId="77" xr:uid="{00000000-0005-0000-0000-00004C000000}"/>
    <cellStyle name="_Bayonne Restructuring 10-17_D_Consolidated2" xfId="78" xr:uid="{00000000-0005-0000-0000-00004D000000}"/>
    <cellStyle name="_Bayonne Restructuring 10-17_Model v9.8" xfId="79" xr:uid="{00000000-0005-0000-0000-00004E000000}"/>
    <cellStyle name="_Bayonne Restructuring 10-17_Mutilples Template2" xfId="80" xr:uid="{00000000-0005-0000-0000-00004F000000}"/>
    <cellStyle name="_Bayonne Restructuring 10-17_Mutilples Template2_Exelon Power Fuel Forecast - Project P 6-11-2004 ver21" xfId="81" xr:uid="{00000000-0005-0000-0000-000050000000}"/>
    <cellStyle name="_Bayonne Restructuring 10-17_Mutilples Template2_ML Outputs" xfId="82" xr:uid="{00000000-0005-0000-0000-000051000000}"/>
    <cellStyle name="_Bayonne Restructuring 10-17_Mutilples Template2_Project Forest Pro Forma Model v58" xfId="83" xr:uid="{00000000-0005-0000-0000-000052000000}"/>
    <cellStyle name="_Bayonne Restructuring 10-17_pom consolidated v3" xfId="84" xr:uid="{00000000-0005-0000-0000-000053000000}"/>
    <cellStyle name="_Bayonne Restructuring 10-17_pom consolidated v3_Exelon Power Fuel Forecast - Project P 6-11-2004 ver21" xfId="85" xr:uid="{00000000-0005-0000-0000-000054000000}"/>
    <cellStyle name="_Bayonne Restructuring 10-17_pom consolidated v3_ML Outputs" xfId="86" xr:uid="{00000000-0005-0000-0000-000055000000}"/>
    <cellStyle name="_Bayonne Restructuring 10-17_pom consolidated v3_Project Forest Pro Forma Model v58" xfId="87" xr:uid="{00000000-0005-0000-0000-000056000000}"/>
    <cellStyle name="_Bayonne Restructuring 11-15" xfId="88" xr:uid="{00000000-0005-0000-0000-000057000000}"/>
    <cellStyle name="_Bayonne Restructuring 11-15_Copy of CNL Consolidated model_v.FPL_v37" xfId="89" xr:uid="{00000000-0005-0000-0000-000058000000}"/>
    <cellStyle name="_Bayonne Restructuring 11-15_Copy of CNL Consolidated model_v.FPL_v37_Exelon Power Fuel Forecast - Project P 6-11-2004 ver21" xfId="90" xr:uid="{00000000-0005-0000-0000-000059000000}"/>
    <cellStyle name="_Bayonne Restructuring 11-15_Copy of CNL Consolidated model_v.FPL_v37_ML Outputs" xfId="91" xr:uid="{00000000-0005-0000-0000-00005A000000}"/>
    <cellStyle name="_Bayonne Restructuring 11-15_Copy of CNL Consolidated model_v.FPL_v37_Project Forest Pro Forma Model v58" xfId="92" xr:uid="{00000000-0005-0000-0000-00005B000000}"/>
    <cellStyle name="_Bayonne Restructuring 11-15_D_Consolidated2" xfId="93" xr:uid="{00000000-0005-0000-0000-00005C000000}"/>
    <cellStyle name="_Bayonne Restructuring 11-15_Model v9.8" xfId="94" xr:uid="{00000000-0005-0000-0000-00005D000000}"/>
    <cellStyle name="_Bayonne Restructuring 11-15_Mutilples Template2" xfId="95" xr:uid="{00000000-0005-0000-0000-00005E000000}"/>
    <cellStyle name="_Bayonne Restructuring 11-15_Mutilples Template2_Exelon Power Fuel Forecast - Project P 6-11-2004 ver21" xfId="96" xr:uid="{00000000-0005-0000-0000-00005F000000}"/>
    <cellStyle name="_Bayonne Restructuring 11-15_Mutilples Template2_ML Outputs" xfId="97" xr:uid="{00000000-0005-0000-0000-000060000000}"/>
    <cellStyle name="_Bayonne Restructuring 11-15_Mutilples Template2_Project Forest Pro Forma Model v58" xfId="98" xr:uid="{00000000-0005-0000-0000-000061000000}"/>
    <cellStyle name="_Bayonne Restructuring 11-15_pom consolidated v3" xfId="99" xr:uid="{00000000-0005-0000-0000-000062000000}"/>
    <cellStyle name="_Bayonne Restructuring 11-15_pom consolidated v3_Exelon Power Fuel Forecast - Project P 6-11-2004 ver21" xfId="100" xr:uid="{00000000-0005-0000-0000-000063000000}"/>
    <cellStyle name="_Bayonne Restructuring 11-15_pom consolidated v3_ML Outputs" xfId="101" xr:uid="{00000000-0005-0000-0000-000064000000}"/>
    <cellStyle name="_Bayonne Restructuring 11-15_pom consolidated v3_Project Forest Pro Forma Model v58" xfId="102" xr:uid="{00000000-0005-0000-0000-000065000000}"/>
    <cellStyle name="_Bayonne Restructuring 1-19" xfId="103" xr:uid="{00000000-0005-0000-0000-000066000000}"/>
    <cellStyle name="_Bayonne Restructuring 1-19_Copy of CNL Consolidated model_v.FPL_v37" xfId="104" xr:uid="{00000000-0005-0000-0000-000067000000}"/>
    <cellStyle name="_Bayonne Restructuring 1-19_Copy of CNL Consolidated model_v.FPL_v37_Exelon Power Fuel Forecast - Project P 6-11-2004 ver21" xfId="105" xr:uid="{00000000-0005-0000-0000-000068000000}"/>
    <cellStyle name="_Bayonne Restructuring 1-19_Copy of CNL Consolidated model_v.FPL_v37_ML Outputs" xfId="106" xr:uid="{00000000-0005-0000-0000-000069000000}"/>
    <cellStyle name="_Bayonne Restructuring 1-19_Copy of CNL Consolidated model_v.FPL_v37_Project Forest Pro Forma Model v58" xfId="107" xr:uid="{00000000-0005-0000-0000-00006A000000}"/>
    <cellStyle name="_Bayonne Restructuring 1-19_D_Consolidated2" xfId="108" xr:uid="{00000000-0005-0000-0000-00006B000000}"/>
    <cellStyle name="_Bayonne Restructuring 1-19_Model v9.8" xfId="109" xr:uid="{00000000-0005-0000-0000-00006C000000}"/>
    <cellStyle name="_Bayonne Restructuring 1-19_Mutilples Template2" xfId="110" xr:uid="{00000000-0005-0000-0000-00006D000000}"/>
    <cellStyle name="_Bayonne Restructuring 1-19_Mutilples Template2_Exelon Power Fuel Forecast - Project P 6-11-2004 ver21" xfId="111" xr:uid="{00000000-0005-0000-0000-00006E000000}"/>
    <cellStyle name="_Bayonne Restructuring 1-19_Mutilples Template2_ML Outputs" xfId="112" xr:uid="{00000000-0005-0000-0000-00006F000000}"/>
    <cellStyle name="_Bayonne Restructuring 1-19_Mutilples Template2_Project Forest Pro Forma Model v58" xfId="113" xr:uid="{00000000-0005-0000-0000-000070000000}"/>
    <cellStyle name="_Bayonne Restructuring 1-19_pom consolidated v3" xfId="114" xr:uid="{00000000-0005-0000-0000-000071000000}"/>
    <cellStyle name="_Bayonne Restructuring 1-19_pom consolidated v3_Exelon Power Fuel Forecast - Project P 6-11-2004 ver21" xfId="115" xr:uid="{00000000-0005-0000-0000-000072000000}"/>
    <cellStyle name="_Bayonne Restructuring 1-19_pom consolidated v3_ML Outputs" xfId="116" xr:uid="{00000000-0005-0000-0000-000073000000}"/>
    <cellStyle name="_Bayonne Restructuring 1-19_pom consolidated v3_Project Forest Pro Forma Model v58" xfId="117" xr:uid="{00000000-0005-0000-0000-000074000000}"/>
    <cellStyle name="_Book9" xfId="118" xr:uid="{00000000-0005-0000-0000-000075000000}"/>
    <cellStyle name="_Book9_Copy of CNL Consolidated model_v.FPL_v37" xfId="119" xr:uid="{00000000-0005-0000-0000-000076000000}"/>
    <cellStyle name="_Book9_Copy of CNL Consolidated model_v.FPL_v37_Exelon Power Fuel Forecast - Project P 6-11-2004 ver21" xfId="120" xr:uid="{00000000-0005-0000-0000-000077000000}"/>
    <cellStyle name="_Book9_Copy of CNL Consolidated model_v.FPL_v37_ML Outputs" xfId="121" xr:uid="{00000000-0005-0000-0000-000078000000}"/>
    <cellStyle name="_Book9_Copy of CNL Consolidated model_v.FPL_v37_Project Forest Pro Forma Model v58" xfId="122" xr:uid="{00000000-0005-0000-0000-000079000000}"/>
    <cellStyle name="_Book9_D_Consolidated2" xfId="123" xr:uid="{00000000-0005-0000-0000-00007A000000}"/>
    <cellStyle name="_Book9_Model v9.8" xfId="124" xr:uid="{00000000-0005-0000-0000-00007B000000}"/>
    <cellStyle name="_Book9_Mutilples Template2" xfId="125" xr:uid="{00000000-0005-0000-0000-00007C000000}"/>
    <cellStyle name="_Book9_Mutilples Template2_Exelon Power Fuel Forecast - Project P 6-11-2004 ver21" xfId="126" xr:uid="{00000000-0005-0000-0000-00007D000000}"/>
    <cellStyle name="_Book9_Mutilples Template2_ML Outputs" xfId="127" xr:uid="{00000000-0005-0000-0000-00007E000000}"/>
    <cellStyle name="_Book9_Mutilples Template2_Project Forest Pro Forma Model v58" xfId="128" xr:uid="{00000000-0005-0000-0000-00007F000000}"/>
    <cellStyle name="_Book9_pom consolidated v3" xfId="129" xr:uid="{00000000-0005-0000-0000-000080000000}"/>
    <cellStyle name="_Book9_pom consolidated v3_Exelon Power Fuel Forecast - Project P 6-11-2004 ver21" xfId="130" xr:uid="{00000000-0005-0000-0000-000081000000}"/>
    <cellStyle name="_Book9_pom consolidated v3_ML Outputs" xfId="131" xr:uid="{00000000-0005-0000-0000-000082000000}"/>
    <cellStyle name="_Book9_pom consolidated v3_Project Forest Pro Forma Model v58" xfId="132" xr:uid="{00000000-0005-0000-0000-000083000000}"/>
    <cellStyle name="_Camden Debt Breakage" xfId="133" xr:uid="{00000000-0005-0000-0000-000084000000}"/>
    <cellStyle name="_Camden Debt Breakage_Copy of CNL Consolidated model_v.FPL_v37" xfId="134" xr:uid="{00000000-0005-0000-0000-000085000000}"/>
    <cellStyle name="_Camden Debt Breakage_Copy of CNL Consolidated model_v.FPL_v37_Exelon Power Fuel Forecast - Project P 6-11-2004 ver21" xfId="135" xr:uid="{00000000-0005-0000-0000-000086000000}"/>
    <cellStyle name="_Camden Debt Breakage_Copy of CNL Consolidated model_v.FPL_v37_ML Outputs" xfId="136" xr:uid="{00000000-0005-0000-0000-000087000000}"/>
    <cellStyle name="_Camden Debt Breakage_Copy of CNL Consolidated model_v.FPL_v37_Project Forest Pro Forma Model v58" xfId="137" xr:uid="{00000000-0005-0000-0000-000088000000}"/>
    <cellStyle name="_Camden Debt Breakage_D_Consolidated2" xfId="138" xr:uid="{00000000-0005-0000-0000-000089000000}"/>
    <cellStyle name="_Camden Debt Breakage_Model v9.8" xfId="139" xr:uid="{00000000-0005-0000-0000-00008A000000}"/>
    <cellStyle name="_Camden Debt Breakage_Mutilples Template2" xfId="140" xr:uid="{00000000-0005-0000-0000-00008B000000}"/>
    <cellStyle name="_Camden Debt Breakage_Mutilples Template2_Exelon Power Fuel Forecast - Project P 6-11-2004 ver21" xfId="141" xr:uid="{00000000-0005-0000-0000-00008C000000}"/>
    <cellStyle name="_Camden Debt Breakage_Mutilples Template2_ML Outputs" xfId="142" xr:uid="{00000000-0005-0000-0000-00008D000000}"/>
    <cellStyle name="_Camden Debt Breakage_Mutilples Template2_Project Forest Pro Forma Model v58" xfId="143" xr:uid="{00000000-0005-0000-0000-00008E000000}"/>
    <cellStyle name="_Camden Debt Breakage_pom consolidated v3" xfId="144" xr:uid="{00000000-0005-0000-0000-00008F000000}"/>
    <cellStyle name="_Camden Debt Breakage_pom consolidated v3_Exelon Power Fuel Forecast - Project P 6-11-2004 ver21" xfId="145" xr:uid="{00000000-0005-0000-0000-000090000000}"/>
    <cellStyle name="_Camden Debt Breakage_pom consolidated v3_ML Outputs" xfId="146" xr:uid="{00000000-0005-0000-0000-000091000000}"/>
    <cellStyle name="_Camden Debt Breakage_pom consolidated v3_Project Forest Pro Forma Model v58" xfId="147" xr:uid="{00000000-0005-0000-0000-000092000000}"/>
    <cellStyle name="_Camden_Bayonne Restructure 6-06-01" xfId="148" xr:uid="{00000000-0005-0000-0000-000093000000}"/>
    <cellStyle name="_Camden_Bayonne Restructure 6-06-01_Copy of CNL Consolidated model_v.FPL_v37" xfId="149" xr:uid="{00000000-0005-0000-0000-000094000000}"/>
    <cellStyle name="_Camden_Bayonne Restructure 6-06-01_Copy of CNL Consolidated model_v.FPL_v37_Exelon Power Fuel Forecast - Project P 6-11-2004 ver21" xfId="150" xr:uid="{00000000-0005-0000-0000-000095000000}"/>
    <cellStyle name="_Camden_Bayonne Restructure 6-06-01_Copy of CNL Consolidated model_v.FPL_v37_ML Outputs" xfId="151" xr:uid="{00000000-0005-0000-0000-000096000000}"/>
    <cellStyle name="_Camden_Bayonne Restructure 6-06-01_Copy of CNL Consolidated model_v.FPL_v37_Project Forest Pro Forma Model v58" xfId="152" xr:uid="{00000000-0005-0000-0000-000097000000}"/>
    <cellStyle name="_Camden_Bayonne Restructure 6-06-01_D_Consolidated2" xfId="153" xr:uid="{00000000-0005-0000-0000-000098000000}"/>
    <cellStyle name="_Camden_Bayonne Restructure 6-06-01_Model v9.8" xfId="154" xr:uid="{00000000-0005-0000-0000-000099000000}"/>
    <cellStyle name="_Camden_Bayonne Restructure 6-06-01_Mutilples Template2" xfId="155" xr:uid="{00000000-0005-0000-0000-00009A000000}"/>
    <cellStyle name="_Camden_Bayonne Restructure 6-06-01_Mutilples Template2_Exelon Power Fuel Forecast - Project P 6-11-2004 ver21" xfId="156" xr:uid="{00000000-0005-0000-0000-00009B000000}"/>
    <cellStyle name="_Camden_Bayonne Restructure 6-06-01_Mutilples Template2_ML Outputs" xfId="157" xr:uid="{00000000-0005-0000-0000-00009C000000}"/>
    <cellStyle name="_Camden_Bayonne Restructure 6-06-01_Mutilples Template2_Project Forest Pro Forma Model v58" xfId="158" xr:uid="{00000000-0005-0000-0000-00009D000000}"/>
    <cellStyle name="_Camden_Bayonne Restructure 6-06-01_pom consolidated v3" xfId="159" xr:uid="{00000000-0005-0000-0000-00009E000000}"/>
    <cellStyle name="_Camden_Bayonne Restructure 6-06-01_pom consolidated v3_Exelon Power Fuel Forecast - Project P 6-11-2004 ver21" xfId="160" xr:uid="{00000000-0005-0000-0000-00009F000000}"/>
    <cellStyle name="_Camden_Bayonne Restructure 6-06-01_pom consolidated v3_ML Outputs" xfId="161" xr:uid="{00000000-0005-0000-0000-0000A0000000}"/>
    <cellStyle name="_Camden_Bayonne Restructure 6-06-01_pom consolidated v3_Project Forest Pro Forma Model v58" xfId="162" xr:uid="{00000000-0005-0000-0000-0000A1000000}"/>
    <cellStyle name="_Camden_Bayonne Restructure 7-06-01" xfId="163" xr:uid="{00000000-0005-0000-0000-0000A2000000}"/>
    <cellStyle name="_Camden_Bayonne Restructure 7-06-01_Copy of CNL Consolidated model_v.FPL_v37" xfId="164" xr:uid="{00000000-0005-0000-0000-0000A3000000}"/>
    <cellStyle name="_Camden_Bayonne Restructure 7-06-01_Copy of CNL Consolidated model_v.FPL_v37_Exelon Power Fuel Forecast - Project P 6-11-2004 ver21" xfId="165" xr:uid="{00000000-0005-0000-0000-0000A4000000}"/>
    <cellStyle name="_Camden_Bayonne Restructure 7-06-01_Copy of CNL Consolidated model_v.FPL_v37_ML Outputs" xfId="166" xr:uid="{00000000-0005-0000-0000-0000A5000000}"/>
    <cellStyle name="_Camden_Bayonne Restructure 7-06-01_Copy of CNL Consolidated model_v.FPL_v37_Project Forest Pro Forma Model v58" xfId="167" xr:uid="{00000000-0005-0000-0000-0000A6000000}"/>
    <cellStyle name="_Camden_Bayonne Restructure 7-06-01_D_Consolidated2" xfId="168" xr:uid="{00000000-0005-0000-0000-0000A7000000}"/>
    <cellStyle name="_Camden_Bayonne Restructure 7-06-01_Model v9.8" xfId="169" xr:uid="{00000000-0005-0000-0000-0000A8000000}"/>
    <cellStyle name="_Camden_Bayonne Restructure 7-06-01_Mutilples Template2" xfId="170" xr:uid="{00000000-0005-0000-0000-0000A9000000}"/>
    <cellStyle name="_Camden_Bayonne Restructure 7-06-01_Mutilples Template2_Exelon Power Fuel Forecast - Project P 6-11-2004 ver21" xfId="171" xr:uid="{00000000-0005-0000-0000-0000AA000000}"/>
    <cellStyle name="_Camden_Bayonne Restructure 7-06-01_Mutilples Template2_ML Outputs" xfId="172" xr:uid="{00000000-0005-0000-0000-0000AB000000}"/>
    <cellStyle name="_Camden_Bayonne Restructure 7-06-01_Mutilples Template2_Project Forest Pro Forma Model v58" xfId="173" xr:uid="{00000000-0005-0000-0000-0000AC000000}"/>
    <cellStyle name="_Camden_Bayonne Restructure 7-06-01_pom consolidated v3" xfId="174" xr:uid="{00000000-0005-0000-0000-0000AD000000}"/>
    <cellStyle name="_Camden_Bayonne Restructure 7-06-01_pom consolidated v3_Exelon Power Fuel Forecast - Project P 6-11-2004 ver21" xfId="175" xr:uid="{00000000-0005-0000-0000-0000AE000000}"/>
    <cellStyle name="_Camden_Bayonne Restructure 7-06-01_pom consolidated v3_ML Outputs" xfId="176" xr:uid="{00000000-0005-0000-0000-0000AF000000}"/>
    <cellStyle name="_Camden_Bayonne Restructure 7-06-01_pom consolidated v3_Project Forest Pro Forma Model v58" xfId="177" xr:uid="{00000000-0005-0000-0000-0000B0000000}"/>
    <cellStyle name="_Camden_Bayonne Restructure 7-2-01" xfId="178" xr:uid="{00000000-0005-0000-0000-0000B1000000}"/>
    <cellStyle name="_Camden_Bayonne Restructure 7-2-01_Copy of CNL Consolidated model_v.FPL_v37" xfId="179" xr:uid="{00000000-0005-0000-0000-0000B2000000}"/>
    <cellStyle name="_Camden_Bayonne Restructure 7-2-01_Copy of CNL Consolidated model_v.FPL_v37_Exelon Power Fuel Forecast - Project P 6-11-2004 ver21" xfId="180" xr:uid="{00000000-0005-0000-0000-0000B3000000}"/>
    <cellStyle name="_Camden_Bayonne Restructure 7-2-01_Copy of CNL Consolidated model_v.FPL_v37_ML Outputs" xfId="181" xr:uid="{00000000-0005-0000-0000-0000B4000000}"/>
    <cellStyle name="_Camden_Bayonne Restructure 7-2-01_Copy of CNL Consolidated model_v.FPL_v37_Project Forest Pro Forma Model v58" xfId="182" xr:uid="{00000000-0005-0000-0000-0000B5000000}"/>
    <cellStyle name="_Camden_Bayonne Restructure 7-2-01_D_Consolidated2" xfId="183" xr:uid="{00000000-0005-0000-0000-0000B6000000}"/>
    <cellStyle name="_Camden_Bayonne Restructure 7-2-01_Model v9.8" xfId="184" xr:uid="{00000000-0005-0000-0000-0000B7000000}"/>
    <cellStyle name="_Camden_Bayonne Restructure 7-2-01_Mutilples Template2" xfId="185" xr:uid="{00000000-0005-0000-0000-0000B8000000}"/>
    <cellStyle name="_Camden_Bayonne Restructure 7-2-01_Mutilples Template2_Exelon Power Fuel Forecast - Project P 6-11-2004 ver21" xfId="186" xr:uid="{00000000-0005-0000-0000-0000B9000000}"/>
    <cellStyle name="_Camden_Bayonne Restructure 7-2-01_Mutilples Template2_ML Outputs" xfId="187" xr:uid="{00000000-0005-0000-0000-0000BA000000}"/>
    <cellStyle name="_Camden_Bayonne Restructure 7-2-01_Mutilples Template2_Project Forest Pro Forma Model v58" xfId="188" xr:uid="{00000000-0005-0000-0000-0000BB000000}"/>
    <cellStyle name="_Camden_Bayonne Restructure 7-2-01_pom consolidated v3" xfId="189" xr:uid="{00000000-0005-0000-0000-0000BC000000}"/>
    <cellStyle name="_Camden_Bayonne Restructure 7-2-01_pom consolidated v3_Exelon Power Fuel Forecast - Project P 6-11-2004 ver21" xfId="190" xr:uid="{00000000-0005-0000-0000-0000BD000000}"/>
    <cellStyle name="_Camden_Bayonne Restructure 7-2-01_pom consolidated v3_ML Outputs" xfId="191" xr:uid="{00000000-0005-0000-0000-0000BE000000}"/>
    <cellStyle name="_Camden_Bayonne Restructure 7-2-01_pom consolidated v3_Project Forest Pro Forma Model v58" xfId="192" xr:uid="{00000000-0005-0000-0000-0000BF000000}"/>
    <cellStyle name="_CBIV v11" xfId="193" xr:uid="{00000000-0005-0000-0000-0000C0000000}"/>
    <cellStyle name="_CBIV v11_Copy of CNL Consolidated model_v.FPL_v37" xfId="194" xr:uid="{00000000-0005-0000-0000-0000C1000000}"/>
    <cellStyle name="_CBIV v11_Copy of CNL Consolidated model_v.FPL_v37_Exelon Power Fuel Forecast - Project P 6-11-2004 ver21" xfId="195" xr:uid="{00000000-0005-0000-0000-0000C2000000}"/>
    <cellStyle name="_CBIV v11_Copy of CNL Consolidated model_v.FPL_v37_ML Outputs" xfId="196" xr:uid="{00000000-0005-0000-0000-0000C3000000}"/>
    <cellStyle name="_CBIV v11_Copy of CNL Consolidated model_v.FPL_v37_Project Forest Pro Forma Model v58" xfId="197" xr:uid="{00000000-0005-0000-0000-0000C4000000}"/>
    <cellStyle name="_CBIV v11_D_Consolidated2" xfId="198" xr:uid="{00000000-0005-0000-0000-0000C5000000}"/>
    <cellStyle name="_CBIV v11_Model v9.8" xfId="199" xr:uid="{00000000-0005-0000-0000-0000C6000000}"/>
    <cellStyle name="_CBIV v11_Mutilples Template2" xfId="200" xr:uid="{00000000-0005-0000-0000-0000C7000000}"/>
    <cellStyle name="_CBIV v11_Mutilples Template2_Exelon Power Fuel Forecast - Project P 6-11-2004 ver21" xfId="201" xr:uid="{00000000-0005-0000-0000-0000C8000000}"/>
    <cellStyle name="_CBIV v11_Mutilples Template2_ML Outputs" xfId="202" xr:uid="{00000000-0005-0000-0000-0000C9000000}"/>
    <cellStyle name="_CBIV v11_Mutilples Template2_Project Forest Pro Forma Model v58" xfId="203" xr:uid="{00000000-0005-0000-0000-0000CA000000}"/>
    <cellStyle name="_CBIV v11_pom consolidated v3" xfId="204" xr:uid="{00000000-0005-0000-0000-0000CB000000}"/>
    <cellStyle name="_CBIV v11_pom consolidated v3_Exelon Power Fuel Forecast - Project P 6-11-2004 ver21" xfId="205" xr:uid="{00000000-0005-0000-0000-0000CC000000}"/>
    <cellStyle name="_CBIV v11_pom consolidated v3_ML Outputs" xfId="206" xr:uid="{00000000-0005-0000-0000-0000CD000000}"/>
    <cellStyle name="_CBIV v11_pom consolidated v3_Project Forest Pro Forma Model v58" xfId="207" xr:uid="{00000000-0005-0000-0000-0000CE000000}"/>
    <cellStyle name="_CBIV v6" xfId="208" xr:uid="{00000000-0005-0000-0000-0000CF000000}"/>
    <cellStyle name="_CBIV v6_Copy of CNL Consolidated model_v.FPL_v37" xfId="209" xr:uid="{00000000-0005-0000-0000-0000D0000000}"/>
    <cellStyle name="_CBIV v6_Copy of CNL Consolidated model_v.FPL_v37_Exelon Power Fuel Forecast - Project P 6-11-2004 ver21" xfId="210" xr:uid="{00000000-0005-0000-0000-0000D1000000}"/>
    <cellStyle name="_CBIV v6_Copy of CNL Consolidated model_v.FPL_v37_ML Outputs" xfId="211" xr:uid="{00000000-0005-0000-0000-0000D2000000}"/>
    <cellStyle name="_CBIV v6_Copy of CNL Consolidated model_v.FPL_v37_Project Forest Pro Forma Model v58" xfId="212" xr:uid="{00000000-0005-0000-0000-0000D3000000}"/>
    <cellStyle name="_CBIV v6_D_Consolidated2" xfId="213" xr:uid="{00000000-0005-0000-0000-0000D4000000}"/>
    <cellStyle name="_CBIV v6_Model v9.8" xfId="214" xr:uid="{00000000-0005-0000-0000-0000D5000000}"/>
    <cellStyle name="_CBIV v6_Mutilples Template2" xfId="215" xr:uid="{00000000-0005-0000-0000-0000D6000000}"/>
    <cellStyle name="_CBIV v6_Mutilples Template2_Exelon Power Fuel Forecast - Project P 6-11-2004 ver21" xfId="216" xr:uid="{00000000-0005-0000-0000-0000D7000000}"/>
    <cellStyle name="_CBIV v6_Mutilples Template2_ML Outputs" xfId="217" xr:uid="{00000000-0005-0000-0000-0000D8000000}"/>
    <cellStyle name="_CBIV v6_Mutilples Template2_Project Forest Pro Forma Model v58" xfId="218" xr:uid="{00000000-0005-0000-0000-0000D9000000}"/>
    <cellStyle name="_CBIV v6_pom consolidated v3" xfId="219" xr:uid="{00000000-0005-0000-0000-0000DA000000}"/>
    <cellStyle name="_CBIV v6_pom consolidated v3_Exelon Power Fuel Forecast - Project P 6-11-2004 ver21" xfId="220" xr:uid="{00000000-0005-0000-0000-0000DB000000}"/>
    <cellStyle name="_CBIV v6_pom consolidated v3_ML Outputs" xfId="221" xr:uid="{00000000-0005-0000-0000-0000DC000000}"/>
    <cellStyle name="_CBIV v6_pom consolidated v3_Project Forest Pro Forma Model v58" xfId="222" xr:uid="{00000000-0005-0000-0000-0000DD000000}"/>
    <cellStyle name="_CEG Plants v4" xfId="223" xr:uid="{00000000-0005-0000-0000-0000DE000000}"/>
    <cellStyle name="_CEG Plants v5" xfId="224" xr:uid="{00000000-0005-0000-0000-0000DF000000}"/>
    <cellStyle name="_CEG Plants v6" xfId="225" xr:uid="{00000000-0005-0000-0000-0000E0000000}"/>
    <cellStyle name="_Comma" xfId="226" xr:uid="{00000000-0005-0000-0000-0000E1000000}"/>
    <cellStyle name="_Consolidated Summary - Portfolio_v12" xfId="227" xr:uid="{00000000-0005-0000-0000-0000E2000000}"/>
    <cellStyle name="_Consolidated Summary - Portfolio_v12_Copy of CNL Consolidated model_v.FPL_v37" xfId="228" xr:uid="{00000000-0005-0000-0000-0000E3000000}"/>
    <cellStyle name="_Consolidated Summary - Portfolio_v12_Copy of CNL Consolidated model_v.FPL_v37_Exelon Power Fuel Forecast - Project P 6-11-2004 ver21" xfId="229" xr:uid="{00000000-0005-0000-0000-0000E4000000}"/>
    <cellStyle name="_Consolidated Summary - Portfolio_v12_Copy of CNL Consolidated model_v.FPL_v37_ML Outputs" xfId="230" xr:uid="{00000000-0005-0000-0000-0000E5000000}"/>
    <cellStyle name="_Consolidated Summary - Portfolio_v12_Copy of CNL Consolidated model_v.FPL_v37_Project Forest Pro Forma Model v58" xfId="231" xr:uid="{00000000-0005-0000-0000-0000E6000000}"/>
    <cellStyle name="_Consolidated Summary - Portfolio_v12_D_Consolidated2" xfId="232" xr:uid="{00000000-0005-0000-0000-0000E7000000}"/>
    <cellStyle name="_Consolidated Summary - Portfolio_v12_Model v9.8" xfId="233" xr:uid="{00000000-0005-0000-0000-0000E8000000}"/>
    <cellStyle name="_Consolidated Summary - Portfolio_v12_Mutilples Template2" xfId="234" xr:uid="{00000000-0005-0000-0000-0000E9000000}"/>
    <cellStyle name="_Consolidated Summary - Portfolio_v12_Mutilples Template2_Exelon Power Fuel Forecast - Project P 6-11-2004 ver21" xfId="235" xr:uid="{00000000-0005-0000-0000-0000EA000000}"/>
    <cellStyle name="_Consolidated Summary - Portfolio_v12_Mutilples Template2_ML Outputs" xfId="236" xr:uid="{00000000-0005-0000-0000-0000EB000000}"/>
    <cellStyle name="_Consolidated Summary - Portfolio_v12_Mutilples Template2_Project Forest Pro Forma Model v58" xfId="237" xr:uid="{00000000-0005-0000-0000-0000EC000000}"/>
    <cellStyle name="_Consolidated Summary - Portfolio_v12_pom consolidated v3" xfId="238" xr:uid="{00000000-0005-0000-0000-0000ED000000}"/>
    <cellStyle name="_Consolidated Summary - Portfolio_v12_pom consolidated v3_Exelon Power Fuel Forecast - Project P 6-11-2004 ver21" xfId="239" xr:uid="{00000000-0005-0000-0000-0000EE000000}"/>
    <cellStyle name="_Consolidated Summary - Portfolio_v12_pom consolidated v3_ML Outputs" xfId="240" xr:uid="{00000000-0005-0000-0000-0000EF000000}"/>
    <cellStyle name="_Consolidated Summary - Portfolio_v12_pom consolidated v3_Project Forest Pro Forma Model v58" xfId="241" xr:uid="{00000000-0005-0000-0000-0000F0000000}"/>
    <cellStyle name="_Copy of CNL Consolidated model_v.FPL_v37" xfId="242" xr:uid="{00000000-0005-0000-0000-0000F1000000}"/>
    <cellStyle name="_Copy of CNL Consolidated model_v.FPL_v37_Exelon Power Fuel Forecast - Project P 6-11-2004 ver21" xfId="243" xr:uid="{00000000-0005-0000-0000-0000F2000000}"/>
    <cellStyle name="_Copy of CNL Consolidated model_v.FPL_v37_ML Outputs" xfId="244" xr:uid="{00000000-0005-0000-0000-0000F3000000}"/>
    <cellStyle name="_Copy of CNL Consolidated model_v.FPL_v37_Project Forest Pro Forma Model v58" xfId="245" xr:uid="{00000000-0005-0000-0000-0000F4000000}"/>
    <cellStyle name="_D_Consolidated2" xfId="246" xr:uid="{00000000-0005-0000-0000-0000F5000000}"/>
    <cellStyle name="_Dell with sensitivity" xfId="247" xr:uid="{00000000-0005-0000-0000-0000F6000000}"/>
    <cellStyle name="_Dell with sensitivity_Copy of CNL Consolidated model_v.FPL_v37" xfId="248" xr:uid="{00000000-0005-0000-0000-0000F7000000}"/>
    <cellStyle name="_Dell with sensitivity_Copy of CNL Consolidated model_v.FPL_v37_Exelon Power Fuel Forecast - Project P 6-11-2004 ver21" xfId="249" xr:uid="{00000000-0005-0000-0000-0000F8000000}"/>
    <cellStyle name="_Dell with sensitivity_Copy of CNL Consolidated model_v.FPL_v37_ML Outputs" xfId="250" xr:uid="{00000000-0005-0000-0000-0000F9000000}"/>
    <cellStyle name="_Dell with sensitivity_Copy of CNL Consolidated model_v.FPL_v37_Project Forest Pro Forma Model v58" xfId="251" xr:uid="{00000000-0005-0000-0000-0000FA000000}"/>
    <cellStyle name="_Dell with sensitivity_D_Consolidated2" xfId="252" xr:uid="{00000000-0005-0000-0000-0000FB000000}"/>
    <cellStyle name="_Dell with sensitivity_Model v9.8" xfId="253" xr:uid="{00000000-0005-0000-0000-0000FC000000}"/>
    <cellStyle name="_Dell with sensitivity_Mutilples Template2" xfId="254" xr:uid="{00000000-0005-0000-0000-0000FD000000}"/>
    <cellStyle name="_Dell with sensitivity_Mutilples Template2_Exelon Power Fuel Forecast - Project P 6-11-2004 ver21" xfId="255" xr:uid="{00000000-0005-0000-0000-0000FE000000}"/>
    <cellStyle name="_Dell with sensitivity_Mutilples Template2_ML Outputs" xfId="256" xr:uid="{00000000-0005-0000-0000-0000FF000000}"/>
    <cellStyle name="_Dell with sensitivity_Mutilples Template2_Project Forest Pro Forma Model v58" xfId="257" xr:uid="{00000000-0005-0000-0000-000000010000}"/>
    <cellStyle name="_Dell with sensitivity_pom consolidated v3" xfId="258" xr:uid="{00000000-0005-0000-0000-000001010000}"/>
    <cellStyle name="_Dell with sensitivity_pom consolidated v3_Exelon Power Fuel Forecast - Project P 6-11-2004 ver21" xfId="259" xr:uid="{00000000-0005-0000-0000-000002010000}"/>
    <cellStyle name="_Dell with sensitivity_pom consolidated v3_ML Outputs" xfId="260" xr:uid="{00000000-0005-0000-0000-000003010000}"/>
    <cellStyle name="_Dell with sensitivity_pom consolidated v3_Project Forest Pro Forma Model v58" xfId="261" xr:uid="{00000000-0005-0000-0000-000004010000}"/>
    <cellStyle name="_Dell_6c_Stdv10_sensitivity sheet" xfId="262" xr:uid="{00000000-0005-0000-0000-000005010000}"/>
    <cellStyle name="_Dell_6c_Stdv10_sensitivity sheet_Copy of CNL Consolidated model_v.FPL_v37" xfId="263" xr:uid="{00000000-0005-0000-0000-000006010000}"/>
    <cellStyle name="_Dell_6c_Stdv10_sensitivity sheet_Copy of CNL Consolidated model_v.FPL_v37_Exelon Power Fuel Forecast - Project P 6-11-2004 ver21" xfId="264" xr:uid="{00000000-0005-0000-0000-000007010000}"/>
    <cellStyle name="_Dell_6c_Stdv10_sensitivity sheet_Copy of CNL Consolidated model_v.FPL_v37_ML Outputs" xfId="265" xr:uid="{00000000-0005-0000-0000-000008010000}"/>
    <cellStyle name="_Dell_6c_Stdv10_sensitivity sheet_Copy of CNL Consolidated model_v.FPL_v37_Project Forest Pro Forma Model v58" xfId="266" xr:uid="{00000000-0005-0000-0000-000009010000}"/>
    <cellStyle name="_Dell_6c_Stdv10_sensitivity sheet_D_Consolidated2" xfId="267" xr:uid="{00000000-0005-0000-0000-00000A010000}"/>
    <cellStyle name="_Dell_6c_Stdv10_sensitivity sheet_Model v9.8" xfId="268" xr:uid="{00000000-0005-0000-0000-00000B010000}"/>
    <cellStyle name="_Dell_6c_Stdv10_sensitivity sheet_Mutilples Template2" xfId="269" xr:uid="{00000000-0005-0000-0000-00000C010000}"/>
    <cellStyle name="_Dell_6c_Stdv10_sensitivity sheet_Mutilples Template2_Exelon Power Fuel Forecast - Project P 6-11-2004 ver21" xfId="270" xr:uid="{00000000-0005-0000-0000-00000D010000}"/>
    <cellStyle name="_Dell_6c_Stdv10_sensitivity sheet_Mutilples Template2_ML Outputs" xfId="271" xr:uid="{00000000-0005-0000-0000-00000E010000}"/>
    <cellStyle name="_Dell_6c_Stdv10_sensitivity sheet_Mutilples Template2_Project Forest Pro Forma Model v58" xfId="272" xr:uid="{00000000-0005-0000-0000-00000F010000}"/>
    <cellStyle name="_Dell_6c_Stdv10_sensitivity sheet_pom consolidated v3" xfId="273" xr:uid="{00000000-0005-0000-0000-000010010000}"/>
    <cellStyle name="_Dell_6c_Stdv10_sensitivity sheet_pom consolidated v3_Exelon Power Fuel Forecast - Project P 6-11-2004 ver21" xfId="274" xr:uid="{00000000-0005-0000-0000-000011010000}"/>
    <cellStyle name="_Dell_6c_Stdv10_sensitivity sheet_pom consolidated v3_ML Outputs" xfId="275" xr:uid="{00000000-0005-0000-0000-000012010000}"/>
    <cellStyle name="_Dell_6c_Stdv10_sensitivity sheet_pom consolidated v3_Project Forest Pro Forma Model v58" xfId="276" xr:uid="{00000000-0005-0000-0000-000013010000}"/>
    <cellStyle name="_Dell_Level_6c" xfId="277" xr:uid="{00000000-0005-0000-0000-000014010000}"/>
    <cellStyle name="_Dell_Level_6c_Copy of CNL Consolidated model_v.FPL_v37" xfId="278" xr:uid="{00000000-0005-0000-0000-000015010000}"/>
    <cellStyle name="_Dell_Level_6c_Copy of CNL Consolidated model_v.FPL_v37_Exelon Power Fuel Forecast - Project P 6-11-2004 ver21" xfId="279" xr:uid="{00000000-0005-0000-0000-000016010000}"/>
    <cellStyle name="_Dell_Level_6c_Copy of CNL Consolidated model_v.FPL_v37_ML Outputs" xfId="280" xr:uid="{00000000-0005-0000-0000-000017010000}"/>
    <cellStyle name="_Dell_Level_6c_Copy of CNL Consolidated model_v.FPL_v37_Project Forest Pro Forma Model v58" xfId="281" xr:uid="{00000000-0005-0000-0000-000018010000}"/>
    <cellStyle name="_Dell_Level_6c_D_Consolidated2" xfId="282" xr:uid="{00000000-0005-0000-0000-000019010000}"/>
    <cellStyle name="_Dell_Level_6c_Model v9.8" xfId="283" xr:uid="{00000000-0005-0000-0000-00001A010000}"/>
    <cellStyle name="_Dell_Level_6c_Mutilples Template2" xfId="284" xr:uid="{00000000-0005-0000-0000-00001B010000}"/>
    <cellStyle name="_Dell_Level_6c_Mutilples Template2_Exelon Power Fuel Forecast - Project P 6-11-2004 ver21" xfId="285" xr:uid="{00000000-0005-0000-0000-00001C010000}"/>
    <cellStyle name="_Dell_Level_6c_Mutilples Template2_ML Outputs" xfId="286" xr:uid="{00000000-0005-0000-0000-00001D010000}"/>
    <cellStyle name="_Dell_Level_6c_Mutilples Template2_Project Forest Pro Forma Model v58" xfId="287" xr:uid="{00000000-0005-0000-0000-00001E010000}"/>
    <cellStyle name="_Dell_Level_6c_pom consolidated v3" xfId="288" xr:uid="{00000000-0005-0000-0000-00001F010000}"/>
    <cellStyle name="_Dell_Level_6c_pom consolidated v3_Exelon Power Fuel Forecast - Project P 6-11-2004 ver21" xfId="289" xr:uid="{00000000-0005-0000-0000-000020010000}"/>
    <cellStyle name="_Dell_Level_6c_pom consolidated v3_ML Outputs" xfId="290" xr:uid="{00000000-0005-0000-0000-000021010000}"/>
    <cellStyle name="_Dell_Level_6c_pom consolidated v3_Project Forest Pro Forma Model v58" xfId="291" xr:uid="{00000000-0005-0000-0000-000022010000}"/>
    <cellStyle name="_ECP Model v30 B" xfId="292" xr:uid="{00000000-0005-0000-0000-000023010000}"/>
    <cellStyle name="_ECP Model v30 B_Copy of CNL Consolidated model_v.FPL_v37" xfId="293" xr:uid="{00000000-0005-0000-0000-000024010000}"/>
    <cellStyle name="_ECP Model v30 B_Copy of CNL Consolidated model_v.FPL_v37_Exelon Power Fuel Forecast - Project P 6-11-2004 ver21" xfId="294" xr:uid="{00000000-0005-0000-0000-000025010000}"/>
    <cellStyle name="_ECP Model v30 B_Copy of CNL Consolidated model_v.FPL_v37_ML Outputs" xfId="295" xr:uid="{00000000-0005-0000-0000-000026010000}"/>
    <cellStyle name="_ECP Model v30 B_Copy of CNL Consolidated model_v.FPL_v37_Project Forest Pro Forma Model v58" xfId="296" xr:uid="{00000000-0005-0000-0000-000027010000}"/>
    <cellStyle name="_ECP Model v30 B_D_Consolidated2" xfId="297" xr:uid="{00000000-0005-0000-0000-000028010000}"/>
    <cellStyle name="_ECP Model v30 B_Model v9.8" xfId="298" xr:uid="{00000000-0005-0000-0000-000029010000}"/>
    <cellStyle name="_ECP Model v30 B_Mutilples Template2" xfId="299" xr:uid="{00000000-0005-0000-0000-00002A010000}"/>
    <cellStyle name="_ECP Model v30 B_Mutilples Template2_Exelon Power Fuel Forecast - Project P 6-11-2004 ver21" xfId="300" xr:uid="{00000000-0005-0000-0000-00002B010000}"/>
    <cellStyle name="_ECP Model v30 B_Mutilples Template2_ML Outputs" xfId="301" xr:uid="{00000000-0005-0000-0000-00002C010000}"/>
    <cellStyle name="_ECP Model v30 B_Mutilples Template2_Project Forest Pro Forma Model v58" xfId="302" xr:uid="{00000000-0005-0000-0000-00002D010000}"/>
    <cellStyle name="_ECP Model v30 B_pom consolidated v3" xfId="303" xr:uid="{00000000-0005-0000-0000-00002E010000}"/>
    <cellStyle name="_ECP Model v30 B_pom consolidated v3_Exelon Power Fuel Forecast - Project P 6-11-2004 ver21" xfId="304" xr:uid="{00000000-0005-0000-0000-00002F010000}"/>
    <cellStyle name="_ECP Model v30 B_pom consolidated v3_ML Outputs" xfId="305" xr:uid="{00000000-0005-0000-0000-000030010000}"/>
    <cellStyle name="_ECP Model v30 B_pom consolidated v3_Project Forest Pro Forma Model v58" xfId="306" xr:uid="{00000000-0005-0000-0000-000031010000}"/>
    <cellStyle name="_ECP Model v65" xfId="307" xr:uid="{00000000-0005-0000-0000-000032010000}"/>
    <cellStyle name="_ECP Model v65_Copy of CNL Consolidated model_v.FPL_v37" xfId="308" xr:uid="{00000000-0005-0000-0000-000033010000}"/>
    <cellStyle name="_ECP Model v65_Copy of CNL Consolidated model_v.FPL_v37_Exelon Power Fuel Forecast - Project P 6-11-2004 ver21" xfId="309" xr:uid="{00000000-0005-0000-0000-000034010000}"/>
    <cellStyle name="_ECP Model v65_Copy of CNL Consolidated model_v.FPL_v37_ML Outputs" xfId="310" xr:uid="{00000000-0005-0000-0000-000035010000}"/>
    <cellStyle name="_ECP Model v65_Copy of CNL Consolidated model_v.FPL_v37_Project Forest Pro Forma Model v58" xfId="311" xr:uid="{00000000-0005-0000-0000-000036010000}"/>
    <cellStyle name="_ECP Model v65_D_Consolidated2" xfId="312" xr:uid="{00000000-0005-0000-0000-000037010000}"/>
    <cellStyle name="_ECP Model v65_Model v9.8" xfId="313" xr:uid="{00000000-0005-0000-0000-000038010000}"/>
    <cellStyle name="_ECP Model v65_Mutilples Template2" xfId="314" xr:uid="{00000000-0005-0000-0000-000039010000}"/>
    <cellStyle name="_ECP Model v65_Mutilples Template2_Exelon Power Fuel Forecast - Project P 6-11-2004 ver21" xfId="315" xr:uid="{00000000-0005-0000-0000-00003A010000}"/>
    <cellStyle name="_ECP Model v65_Mutilples Template2_ML Outputs" xfId="316" xr:uid="{00000000-0005-0000-0000-00003B010000}"/>
    <cellStyle name="_ECP Model v65_Mutilples Template2_Project Forest Pro Forma Model v58" xfId="317" xr:uid="{00000000-0005-0000-0000-00003C010000}"/>
    <cellStyle name="_ECP Model v65_pom consolidated v3" xfId="318" xr:uid="{00000000-0005-0000-0000-00003D010000}"/>
    <cellStyle name="_ECP Model v65_pom consolidated v3_Exelon Power Fuel Forecast - Project P 6-11-2004 ver21" xfId="319" xr:uid="{00000000-0005-0000-0000-00003E010000}"/>
    <cellStyle name="_ECP Model v65_pom consolidated v3_ML Outputs" xfId="320" xr:uid="{00000000-0005-0000-0000-00003F010000}"/>
    <cellStyle name="_ECP Model v65_pom consolidated v3_Project Forest Pro Forma Model v58" xfId="321" xr:uid="{00000000-0005-0000-0000-000040010000}"/>
    <cellStyle name="_ecp new - Enron buyout 01-05-01" xfId="322" xr:uid="{00000000-0005-0000-0000-000041010000}"/>
    <cellStyle name="_ecp new - Enron buyout 01-05-01_Copy of CNL Consolidated model_v.FPL_v37" xfId="323" xr:uid="{00000000-0005-0000-0000-000042010000}"/>
    <cellStyle name="_ecp new - Enron buyout 01-05-01_Copy of CNL Consolidated model_v.FPL_v37_Exelon Power Fuel Forecast - Project P 6-11-2004 ver21" xfId="324" xr:uid="{00000000-0005-0000-0000-000043010000}"/>
    <cellStyle name="_ecp new - Enron buyout 01-05-01_Copy of CNL Consolidated model_v.FPL_v37_ML Outputs" xfId="325" xr:uid="{00000000-0005-0000-0000-000044010000}"/>
    <cellStyle name="_ecp new - Enron buyout 01-05-01_Copy of CNL Consolidated model_v.FPL_v37_Project Forest Pro Forma Model v58" xfId="326" xr:uid="{00000000-0005-0000-0000-000045010000}"/>
    <cellStyle name="_ecp new - Enron buyout 01-05-01_D_Consolidated2" xfId="327" xr:uid="{00000000-0005-0000-0000-000046010000}"/>
    <cellStyle name="_ecp new - Enron buyout 01-05-01_Model v9.8" xfId="328" xr:uid="{00000000-0005-0000-0000-000047010000}"/>
    <cellStyle name="_ecp new - Enron buyout 01-05-01_Mutilples Template2" xfId="329" xr:uid="{00000000-0005-0000-0000-000048010000}"/>
    <cellStyle name="_ecp new - Enron buyout 01-05-01_Mutilples Template2_Exelon Power Fuel Forecast - Project P 6-11-2004 ver21" xfId="330" xr:uid="{00000000-0005-0000-0000-000049010000}"/>
    <cellStyle name="_ecp new - Enron buyout 01-05-01_Mutilples Template2_ML Outputs" xfId="331" xr:uid="{00000000-0005-0000-0000-00004A010000}"/>
    <cellStyle name="_ecp new - Enron buyout 01-05-01_Mutilples Template2_Project Forest Pro Forma Model v58" xfId="332" xr:uid="{00000000-0005-0000-0000-00004B010000}"/>
    <cellStyle name="_ecp new - Enron buyout 01-05-01_pom consolidated v3" xfId="333" xr:uid="{00000000-0005-0000-0000-00004C010000}"/>
    <cellStyle name="_ecp new - Enron buyout 01-05-01_pom consolidated v3_Exelon Power Fuel Forecast - Project P 6-11-2004 ver21" xfId="334" xr:uid="{00000000-0005-0000-0000-00004D010000}"/>
    <cellStyle name="_ecp new - Enron buyout 01-05-01_pom consolidated v3_ML Outputs" xfId="335" xr:uid="{00000000-0005-0000-0000-00004E010000}"/>
    <cellStyle name="_ecp new - Enron buyout 01-05-01_pom consolidated v3_Project Forest Pro Forma Model v58" xfId="336" xr:uid="{00000000-0005-0000-0000-00004F010000}"/>
    <cellStyle name="_ecp new - Enron buyout 04-09-01" xfId="337" xr:uid="{00000000-0005-0000-0000-000050010000}"/>
    <cellStyle name="_ecp new - Enron buyout 04-09-01_Copy of CNL Consolidated model_v.FPL_v37" xfId="338" xr:uid="{00000000-0005-0000-0000-000051010000}"/>
    <cellStyle name="_ecp new - Enron buyout 04-09-01_Copy of CNL Consolidated model_v.FPL_v37_Exelon Power Fuel Forecast - Project P 6-11-2004 ver21" xfId="339" xr:uid="{00000000-0005-0000-0000-000052010000}"/>
    <cellStyle name="_ecp new - Enron buyout 04-09-01_Copy of CNL Consolidated model_v.FPL_v37_ML Outputs" xfId="340" xr:uid="{00000000-0005-0000-0000-000053010000}"/>
    <cellStyle name="_ecp new - Enron buyout 04-09-01_Copy of CNL Consolidated model_v.FPL_v37_Project Forest Pro Forma Model v58" xfId="341" xr:uid="{00000000-0005-0000-0000-000054010000}"/>
    <cellStyle name="_ecp new - Enron buyout 04-09-01_D_Consolidated2" xfId="342" xr:uid="{00000000-0005-0000-0000-000055010000}"/>
    <cellStyle name="_ecp new - Enron buyout 04-09-01_Model v9.8" xfId="343" xr:uid="{00000000-0005-0000-0000-000056010000}"/>
    <cellStyle name="_ecp new - Enron buyout 04-09-01_Mutilples Template2" xfId="344" xr:uid="{00000000-0005-0000-0000-000057010000}"/>
    <cellStyle name="_ecp new - Enron buyout 04-09-01_Mutilples Template2_Exelon Power Fuel Forecast - Project P 6-11-2004 ver21" xfId="345" xr:uid="{00000000-0005-0000-0000-000058010000}"/>
    <cellStyle name="_ecp new - Enron buyout 04-09-01_Mutilples Template2_ML Outputs" xfId="346" xr:uid="{00000000-0005-0000-0000-000059010000}"/>
    <cellStyle name="_ecp new - Enron buyout 04-09-01_Mutilples Template2_Project Forest Pro Forma Model v58" xfId="347" xr:uid="{00000000-0005-0000-0000-00005A010000}"/>
    <cellStyle name="_ecp new - Enron buyout 04-09-01_pom consolidated v3" xfId="348" xr:uid="{00000000-0005-0000-0000-00005B010000}"/>
    <cellStyle name="_ecp new - Enron buyout 04-09-01_pom consolidated v3_Exelon Power Fuel Forecast - Project P 6-11-2004 ver21" xfId="349" xr:uid="{00000000-0005-0000-0000-00005C010000}"/>
    <cellStyle name="_ecp new - Enron buyout 04-09-01_pom consolidated v3_ML Outputs" xfId="350" xr:uid="{00000000-0005-0000-0000-00005D010000}"/>
    <cellStyle name="_ecp new - Enron buyout 04-09-01_pom consolidated v3_Project Forest Pro Forma Model v58" xfId="351" xr:uid="{00000000-0005-0000-0000-00005E010000}"/>
    <cellStyle name="_ecp new 10" xfId="352" xr:uid="{00000000-0005-0000-0000-00005F010000}"/>
    <cellStyle name="_ecp new 10_Copy of CNL Consolidated model_v.FPL_v37" xfId="353" xr:uid="{00000000-0005-0000-0000-000060010000}"/>
    <cellStyle name="_ecp new 10_Copy of CNL Consolidated model_v.FPL_v37_Exelon Power Fuel Forecast - Project P 6-11-2004 ver21" xfId="354" xr:uid="{00000000-0005-0000-0000-000061010000}"/>
    <cellStyle name="_ecp new 10_Copy of CNL Consolidated model_v.FPL_v37_ML Outputs" xfId="355" xr:uid="{00000000-0005-0000-0000-000062010000}"/>
    <cellStyle name="_ecp new 10_Copy of CNL Consolidated model_v.FPL_v37_Project Forest Pro Forma Model v58" xfId="356" xr:uid="{00000000-0005-0000-0000-000063010000}"/>
    <cellStyle name="_ecp new 10_D_Consolidated2" xfId="357" xr:uid="{00000000-0005-0000-0000-000064010000}"/>
    <cellStyle name="_ecp new 10_Model v9.8" xfId="358" xr:uid="{00000000-0005-0000-0000-000065010000}"/>
    <cellStyle name="_ecp new 10_Mutilples Template2" xfId="359" xr:uid="{00000000-0005-0000-0000-000066010000}"/>
    <cellStyle name="_ecp new 10_Mutilples Template2_Exelon Power Fuel Forecast - Project P 6-11-2004 ver21" xfId="360" xr:uid="{00000000-0005-0000-0000-000067010000}"/>
    <cellStyle name="_ecp new 10_Mutilples Template2_ML Outputs" xfId="361" xr:uid="{00000000-0005-0000-0000-000068010000}"/>
    <cellStyle name="_ecp new 10_Mutilples Template2_Project Forest Pro Forma Model v58" xfId="362" xr:uid="{00000000-0005-0000-0000-000069010000}"/>
    <cellStyle name="_ecp new 10_pom consolidated v3" xfId="363" xr:uid="{00000000-0005-0000-0000-00006A010000}"/>
    <cellStyle name="_ecp new 10_pom consolidated v3_Exelon Power Fuel Forecast - Project P 6-11-2004 ver21" xfId="364" xr:uid="{00000000-0005-0000-0000-00006B010000}"/>
    <cellStyle name="_ecp new 10_pom consolidated v3_ML Outputs" xfId="365" xr:uid="{00000000-0005-0000-0000-00006C010000}"/>
    <cellStyle name="_ecp new 10_pom consolidated v3_Project Forest Pro Forma Model v58" xfId="366" xr:uid="{00000000-0005-0000-0000-00006D010000}"/>
    <cellStyle name="_El Dora1" xfId="367" xr:uid="{00000000-0005-0000-0000-00006E010000}"/>
    <cellStyle name="_El Dora1_Copy of CNL Consolidated model_v.FPL_v37" xfId="368" xr:uid="{00000000-0005-0000-0000-00006F010000}"/>
    <cellStyle name="_El Dora1_Copy of CNL Consolidated model_v.FPL_v37_Exelon Power Fuel Forecast - Project P 6-11-2004 ver21" xfId="369" xr:uid="{00000000-0005-0000-0000-000070010000}"/>
    <cellStyle name="_El Dora1_Copy of CNL Consolidated model_v.FPL_v37_ML Outputs" xfId="370" xr:uid="{00000000-0005-0000-0000-000071010000}"/>
    <cellStyle name="_El Dora1_Copy of CNL Consolidated model_v.FPL_v37_Project Forest Pro Forma Model v58" xfId="371" xr:uid="{00000000-0005-0000-0000-000072010000}"/>
    <cellStyle name="_El Dora1_D_Consolidated2" xfId="372" xr:uid="{00000000-0005-0000-0000-000073010000}"/>
    <cellStyle name="_El Dora1_Model v9.8" xfId="373" xr:uid="{00000000-0005-0000-0000-000074010000}"/>
    <cellStyle name="_El Dora1_Mutilples Template2" xfId="374" xr:uid="{00000000-0005-0000-0000-000075010000}"/>
    <cellStyle name="_El Dora1_Mutilples Template2_Exelon Power Fuel Forecast - Project P 6-11-2004 ver21" xfId="375" xr:uid="{00000000-0005-0000-0000-000076010000}"/>
    <cellStyle name="_El Dora1_Mutilples Template2_ML Outputs" xfId="376" xr:uid="{00000000-0005-0000-0000-000077010000}"/>
    <cellStyle name="_El Dora1_Mutilples Template2_Project Forest Pro Forma Model v58" xfId="377" xr:uid="{00000000-0005-0000-0000-000078010000}"/>
    <cellStyle name="_El Dora1_pom consolidated v3" xfId="378" xr:uid="{00000000-0005-0000-0000-000079010000}"/>
    <cellStyle name="_El Dora1_pom consolidated v3_Exelon Power Fuel Forecast - Project P 6-11-2004 ver21" xfId="379" xr:uid="{00000000-0005-0000-0000-00007A010000}"/>
    <cellStyle name="_El Dora1_pom consolidated v3_ML Outputs" xfId="380" xr:uid="{00000000-0005-0000-0000-00007B010000}"/>
    <cellStyle name="_El Dora1_pom consolidated v3_Project Forest Pro Forma Model v58" xfId="381" xr:uid="{00000000-0005-0000-0000-00007C010000}"/>
    <cellStyle name="_El Dorado - 0100 v2" xfId="382" xr:uid="{00000000-0005-0000-0000-00007D010000}"/>
    <cellStyle name="_El Dorado - 0100 v2_Copy of CNL Consolidated model_v.FPL_v37" xfId="383" xr:uid="{00000000-0005-0000-0000-00007E010000}"/>
    <cellStyle name="_El Dorado - 0100 v2_Copy of CNL Consolidated model_v.FPL_v37_Exelon Power Fuel Forecast - Project P 6-11-2004 ver21" xfId="384" xr:uid="{00000000-0005-0000-0000-00007F010000}"/>
    <cellStyle name="_El Dorado - 0100 v2_Copy of CNL Consolidated model_v.FPL_v37_ML Outputs" xfId="385" xr:uid="{00000000-0005-0000-0000-000080010000}"/>
    <cellStyle name="_El Dorado - 0100 v2_Copy of CNL Consolidated model_v.FPL_v37_Project Forest Pro Forma Model v58" xfId="386" xr:uid="{00000000-0005-0000-0000-000081010000}"/>
    <cellStyle name="_El Dorado - 0100 v2_D_Consolidated2" xfId="387" xr:uid="{00000000-0005-0000-0000-000082010000}"/>
    <cellStyle name="_El Dorado - 0100 v2_Model v9.8" xfId="388" xr:uid="{00000000-0005-0000-0000-000083010000}"/>
    <cellStyle name="_El Dorado - 0100 v2_Mutilples Template2" xfId="389" xr:uid="{00000000-0005-0000-0000-000084010000}"/>
    <cellStyle name="_El Dorado - 0100 v2_Mutilples Template2_Exelon Power Fuel Forecast - Project P 6-11-2004 ver21" xfId="390" xr:uid="{00000000-0005-0000-0000-000085010000}"/>
    <cellStyle name="_El Dorado - 0100 v2_Mutilples Template2_ML Outputs" xfId="391" xr:uid="{00000000-0005-0000-0000-000086010000}"/>
    <cellStyle name="_El Dorado - 0100 v2_Mutilples Template2_Project Forest Pro Forma Model v58" xfId="392" xr:uid="{00000000-0005-0000-0000-000087010000}"/>
    <cellStyle name="_El Dorado - 0100 v2_pom consolidated v3" xfId="393" xr:uid="{00000000-0005-0000-0000-000088010000}"/>
    <cellStyle name="_El Dorado - 0100 v2_pom consolidated v3_Exelon Power Fuel Forecast - Project P 6-11-2004 ver21" xfId="394" xr:uid="{00000000-0005-0000-0000-000089010000}"/>
    <cellStyle name="_El Dorado - 0100 v2_pom consolidated v3_ML Outputs" xfId="395" xr:uid="{00000000-0005-0000-0000-00008A010000}"/>
    <cellStyle name="_El Dorado - 0100 v2_pom consolidated v3_Project Forest Pro Forma Model v58" xfId="396" xr:uid="{00000000-0005-0000-0000-00008B010000}"/>
    <cellStyle name="_El Dorado - 0100 v6" xfId="397" xr:uid="{00000000-0005-0000-0000-00008C010000}"/>
    <cellStyle name="_El Dorado - 0100 v6_Copy of CNL Consolidated model_v.FPL_v37" xfId="398" xr:uid="{00000000-0005-0000-0000-00008D010000}"/>
    <cellStyle name="_El Dorado - 0100 v6_Copy of CNL Consolidated model_v.FPL_v37_Exelon Power Fuel Forecast - Project P 6-11-2004 ver21" xfId="399" xr:uid="{00000000-0005-0000-0000-00008E010000}"/>
    <cellStyle name="_El Dorado - 0100 v6_Copy of CNL Consolidated model_v.FPL_v37_ML Outputs" xfId="400" xr:uid="{00000000-0005-0000-0000-00008F010000}"/>
    <cellStyle name="_El Dorado - 0100 v6_Copy of CNL Consolidated model_v.FPL_v37_Project Forest Pro Forma Model v58" xfId="401" xr:uid="{00000000-0005-0000-0000-000090010000}"/>
    <cellStyle name="_El Dorado - 0100 v6_D_Consolidated2" xfId="402" xr:uid="{00000000-0005-0000-0000-000091010000}"/>
    <cellStyle name="_El Dorado - 0100 v6_Model v9.8" xfId="403" xr:uid="{00000000-0005-0000-0000-000092010000}"/>
    <cellStyle name="_El Dorado - 0100 v6_Mutilples Template2" xfId="404" xr:uid="{00000000-0005-0000-0000-000093010000}"/>
    <cellStyle name="_El Dorado - 0100 v6_Mutilples Template2_Exelon Power Fuel Forecast - Project P 6-11-2004 ver21" xfId="405" xr:uid="{00000000-0005-0000-0000-000094010000}"/>
    <cellStyle name="_El Dorado - 0100 v6_Mutilples Template2_ML Outputs" xfId="406" xr:uid="{00000000-0005-0000-0000-000095010000}"/>
    <cellStyle name="_El Dorado - 0100 v6_Mutilples Template2_Project Forest Pro Forma Model v58" xfId="407" xr:uid="{00000000-0005-0000-0000-000096010000}"/>
    <cellStyle name="_El Dorado - 0100 v6_pom consolidated v3" xfId="408" xr:uid="{00000000-0005-0000-0000-000097010000}"/>
    <cellStyle name="_El Dorado - 0100 v6_pom consolidated v3_Exelon Power Fuel Forecast - Project P 6-11-2004 ver21" xfId="409" xr:uid="{00000000-0005-0000-0000-000098010000}"/>
    <cellStyle name="_El Dorado - 0100 v6_pom consolidated v3_ML Outputs" xfId="410" xr:uid="{00000000-0005-0000-0000-000099010000}"/>
    <cellStyle name="_El Dorado - 0100 v6_pom consolidated v3_Project Forest Pro Forma Model v58" xfId="411" xr:uid="{00000000-0005-0000-0000-00009A010000}"/>
    <cellStyle name="_El Dorado - Bank Version 1-15" xfId="412" xr:uid="{00000000-0005-0000-0000-00009B010000}"/>
    <cellStyle name="_El Dorado - Bank Version 1-15_Copy of CNL Consolidated model_v.FPL_v37" xfId="413" xr:uid="{00000000-0005-0000-0000-00009C010000}"/>
    <cellStyle name="_El Dorado - Bank Version 1-15_Copy of CNL Consolidated model_v.FPL_v37_Exelon Power Fuel Forecast - Project P 6-11-2004 ver21" xfId="414" xr:uid="{00000000-0005-0000-0000-00009D010000}"/>
    <cellStyle name="_El Dorado - Bank Version 1-15_Copy of CNL Consolidated model_v.FPL_v37_ML Outputs" xfId="415" xr:uid="{00000000-0005-0000-0000-00009E010000}"/>
    <cellStyle name="_El Dorado - Bank Version 1-15_Copy of CNL Consolidated model_v.FPL_v37_Project Forest Pro Forma Model v58" xfId="416" xr:uid="{00000000-0005-0000-0000-00009F010000}"/>
    <cellStyle name="_El Dorado - Bank Version 1-15_D_Consolidated2" xfId="417" xr:uid="{00000000-0005-0000-0000-0000A0010000}"/>
    <cellStyle name="_El Dorado - Bank Version 1-15_Model v9.8" xfId="418" xr:uid="{00000000-0005-0000-0000-0000A1010000}"/>
    <cellStyle name="_El Dorado - Bank Version 1-15_Mutilples Template2" xfId="419" xr:uid="{00000000-0005-0000-0000-0000A2010000}"/>
    <cellStyle name="_El Dorado - Bank Version 1-15_Mutilples Template2_Exelon Power Fuel Forecast - Project P 6-11-2004 ver21" xfId="420" xr:uid="{00000000-0005-0000-0000-0000A3010000}"/>
    <cellStyle name="_El Dorado - Bank Version 1-15_Mutilples Template2_ML Outputs" xfId="421" xr:uid="{00000000-0005-0000-0000-0000A4010000}"/>
    <cellStyle name="_El Dorado - Bank Version 1-15_Mutilples Template2_Project Forest Pro Forma Model v58" xfId="422" xr:uid="{00000000-0005-0000-0000-0000A5010000}"/>
    <cellStyle name="_El Dorado - Bank Version 1-15_pom consolidated v3" xfId="423" xr:uid="{00000000-0005-0000-0000-0000A6010000}"/>
    <cellStyle name="_El Dorado - Bank Version 1-15_pom consolidated v3_Exelon Power Fuel Forecast - Project P 6-11-2004 ver21" xfId="424" xr:uid="{00000000-0005-0000-0000-0000A7010000}"/>
    <cellStyle name="_El Dorado - Bank Version 1-15_pom consolidated v3_ML Outputs" xfId="425" xr:uid="{00000000-0005-0000-0000-0000A8010000}"/>
    <cellStyle name="_El Dorado - Bank Version 1-15_pom consolidated v3_Project Forest Pro Forma Model v58" xfId="426" xr:uid="{00000000-0005-0000-0000-0000A9010000}"/>
    <cellStyle name="_El Dorado 0101 v1 early ops test" xfId="427" xr:uid="{00000000-0005-0000-0000-0000AA010000}"/>
    <cellStyle name="_El Dorado 0101 v1 early ops test_Copy of CNL Consolidated model_v.FPL_v37" xfId="428" xr:uid="{00000000-0005-0000-0000-0000AB010000}"/>
    <cellStyle name="_El Dorado 0101 v1 early ops test_Copy of CNL Consolidated model_v.FPL_v37_Exelon Power Fuel Forecast - Project P 6-11-2004 ver21" xfId="429" xr:uid="{00000000-0005-0000-0000-0000AC010000}"/>
    <cellStyle name="_El Dorado 0101 v1 early ops test_Copy of CNL Consolidated model_v.FPL_v37_ML Outputs" xfId="430" xr:uid="{00000000-0005-0000-0000-0000AD010000}"/>
    <cellStyle name="_El Dorado 0101 v1 early ops test_Copy of CNL Consolidated model_v.FPL_v37_Project Forest Pro Forma Model v58" xfId="431" xr:uid="{00000000-0005-0000-0000-0000AE010000}"/>
    <cellStyle name="_El Dorado 0101 v1 early ops test_D_Consolidated2" xfId="432" xr:uid="{00000000-0005-0000-0000-0000AF010000}"/>
    <cellStyle name="_El Dorado 0101 v1 early ops test_Model v9.8" xfId="433" xr:uid="{00000000-0005-0000-0000-0000B0010000}"/>
    <cellStyle name="_El Dorado 0101 v1 early ops test_Mutilples Template2" xfId="434" xr:uid="{00000000-0005-0000-0000-0000B1010000}"/>
    <cellStyle name="_El Dorado 0101 v1 early ops test_Mutilples Template2_Exelon Power Fuel Forecast - Project P 6-11-2004 ver21" xfId="435" xr:uid="{00000000-0005-0000-0000-0000B2010000}"/>
    <cellStyle name="_El Dorado 0101 v1 early ops test_Mutilples Template2_ML Outputs" xfId="436" xr:uid="{00000000-0005-0000-0000-0000B3010000}"/>
    <cellStyle name="_El Dorado 0101 v1 early ops test_Mutilples Template2_Project Forest Pro Forma Model v58" xfId="437" xr:uid="{00000000-0005-0000-0000-0000B4010000}"/>
    <cellStyle name="_El Dorado 0101 v1 early ops test_pom consolidated v3" xfId="438" xr:uid="{00000000-0005-0000-0000-0000B5010000}"/>
    <cellStyle name="_El Dorado 0101 v1 early ops test_pom consolidated v3_Exelon Power Fuel Forecast - Project P 6-11-2004 ver21" xfId="439" xr:uid="{00000000-0005-0000-0000-0000B6010000}"/>
    <cellStyle name="_El Dorado 0101 v1 early ops test_pom consolidated v3_ML Outputs" xfId="440" xr:uid="{00000000-0005-0000-0000-0000B7010000}"/>
    <cellStyle name="_El Dorado 0101 v1 early ops test_pom consolidated v3_Project Forest Pro Forma Model v58" xfId="441" xr:uid="{00000000-0005-0000-0000-0000B8010000}"/>
    <cellStyle name="_El Dorado 1000 v8" xfId="442" xr:uid="{00000000-0005-0000-0000-0000B9010000}"/>
    <cellStyle name="_El Dorado 1000 v8_Copy of CNL Consolidated model_v.FPL_v37" xfId="443" xr:uid="{00000000-0005-0000-0000-0000BA010000}"/>
    <cellStyle name="_El Dorado 1000 v8_Copy of CNL Consolidated model_v.FPL_v37_Exelon Power Fuel Forecast - Project P 6-11-2004 ver21" xfId="444" xr:uid="{00000000-0005-0000-0000-0000BB010000}"/>
    <cellStyle name="_El Dorado 1000 v8_Copy of CNL Consolidated model_v.FPL_v37_ML Outputs" xfId="445" xr:uid="{00000000-0005-0000-0000-0000BC010000}"/>
    <cellStyle name="_El Dorado 1000 v8_Copy of CNL Consolidated model_v.FPL_v37_Project Forest Pro Forma Model v58" xfId="446" xr:uid="{00000000-0005-0000-0000-0000BD010000}"/>
    <cellStyle name="_El Dorado 1000 v8_D_Consolidated2" xfId="447" xr:uid="{00000000-0005-0000-0000-0000BE010000}"/>
    <cellStyle name="_El Dorado 1000 v8_Model v9.8" xfId="448" xr:uid="{00000000-0005-0000-0000-0000BF010000}"/>
    <cellStyle name="_El Dorado 1000 v8_Mutilples Template2" xfId="449" xr:uid="{00000000-0005-0000-0000-0000C0010000}"/>
    <cellStyle name="_El Dorado 1000 v8_Mutilples Template2_Exelon Power Fuel Forecast - Project P 6-11-2004 ver21" xfId="450" xr:uid="{00000000-0005-0000-0000-0000C1010000}"/>
    <cellStyle name="_El Dorado 1000 v8_Mutilples Template2_ML Outputs" xfId="451" xr:uid="{00000000-0005-0000-0000-0000C2010000}"/>
    <cellStyle name="_El Dorado 1000 v8_Mutilples Template2_Project Forest Pro Forma Model v58" xfId="452" xr:uid="{00000000-0005-0000-0000-0000C3010000}"/>
    <cellStyle name="_El Dorado 1000 v8_pom consolidated v3" xfId="453" xr:uid="{00000000-0005-0000-0000-0000C4010000}"/>
    <cellStyle name="_El Dorado 1000 v8_pom consolidated v3_Exelon Power Fuel Forecast - Project P 6-11-2004 ver21" xfId="454" xr:uid="{00000000-0005-0000-0000-0000C5010000}"/>
    <cellStyle name="_El Dorado 1000 v8_pom consolidated v3_ML Outputs" xfId="455" xr:uid="{00000000-0005-0000-0000-0000C6010000}"/>
    <cellStyle name="_El Dorado 1000 v8_pom consolidated v3_Project Forest Pro Forma Model v58" xfId="456" xr:uid="{00000000-0005-0000-0000-0000C7010000}"/>
    <cellStyle name="_El Dorado 1100 v1" xfId="457" xr:uid="{00000000-0005-0000-0000-0000C8010000}"/>
    <cellStyle name="_El Dorado 1100 v1_Copy of CNL Consolidated model_v.FPL_v37" xfId="458" xr:uid="{00000000-0005-0000-0000-0000C9010000}"/>
    <cellStyle name="_El Dorado 1100 v1_Copy of CNL Consolidated model_v.FPL_v37_Exelon Power Fuel Forecast - Project P 6-11-2004 ver21" xfId="459" xr:uid="{00000000-0005-0000-0000-0000CA010000}"/>
    <cellStyle name="_El Dorado 1100 v1_Copy of CNL Consolidated model_v.FPL_v37_ML Outputs" xfId="460" xr:uid="{00000000-0005-0000-0000-0000CB010000}"/>
    <cellStyle name="_El Dorado 1100 v1_Copy of CNL Consolidated model_v.FPL_v37_Project Forest Pro Forma Model v58" xfId="461" xr:uid="{00000000-0005-0000-0000-0000CC010000}"/>
    <cellStyle name="_El Dorado 1100 v1_D_Consolidated2" xfId="462" xr:uid="{00000000-0005-0000-0000-0000CD010000}"/>
    <cellStyle name="_El Dorado 1100 v1_Model v9.8" xfId="463" xr:uid="{00000000-0005-0000-0000-0000CE010000}"/>
    <cellStyle name="_El Dorado 1100 v1_Mutilples Template2" xfId="464" xr:uid="{00000000-0005-0000-0000-0000CF010000}"/>
    <cellStyle name="_El Dorado 1100 v1_Mutilples Template2_Exelon Power Fuel Forecast - Project P 6-11-2004 ver21" xfId="465" xr:uid="{00000000-0005-0000-0000-0000D0010000}"/>
    <cellStyle name="_El Dorado 1100 v1_Mutilples Template2_ML Outputs" xfId="466" xr:uid="{00000000-0005-0000-0000-0000D1010000}"/>
    <cellStyle name="_El Dorado 1100 v1_Mutilples Template2_Project Forest Pro Forma Model v58" xfId="467" xr:uid="{00000000-0005-0000-0000-0000D2010000}"/>
    <cellStyle name="_El Dorado 1100 v1_pom consolidated v3" xfId="468" xr:uid="{00000000-0005-0000-0000-0000D3010000}"/>
    <cellStyle name="_El Dorado 1100 v1_pom consolidated v3_Exelon Power Fuel Forecast - Project P 6-11-2004 ver21" xfId="469" xr:uid="{00000000-0005-0000-0000-0000D4010000}"/>
    <cellStyle name="_El Dorado 1100 v1_pom consolidated v3_ML Outputs" xfId="470" xr:uid="{00000000-0005-0000-0000-0000D5010000}"/>
    <cellStyle name="_El Dorado 1100 v1_pom consolidated v3_Project Forest Pro Forma Model v58" xfId="471" xr:uid="{00000000-0005-0000-0000-0000D6010000}"/>
    <cellStyle name="_El Dorado 1200 v2 Equity" xfId="472" xr:uid="{00000000-0005-0000-0000-0000D7010000}"/>
    <cellStyle name="_El Dorado 1200 v2 Equity_Copy of CNL Consolidated model_v.FPL_v37" xfId="473" xr:uid="{00000000-0005-0000-0000-0000D8010000}"/>
    <cellStyle name="_El Dorado 1200 v2 Equity_Copy of CNL Consolidated model_v.FPL_v37_Exelon Power Fuel Forecast - Project P 6-11-2004 ver21" xfId="474" xr:uid="{00000000-0005-0000-0000-0000D9010000}"/>
    <cellStyle name="_El Dorado 1200 v2 Equity_Copy of CNL Consolidated model_v.FPL_v37_ML Outputs" xfId="475" xr:uid="{00000000-0005-0000-0000-0000DA010000}"/>
    <cellStyle name="_El Dorado 1200 v2 Equity_Copy of CNL Consolidated model_v.FPL_v37_Project Forest Pro Forma Model v58" xfId="476" xr:uid="{00000000-0005-0000-0000-0000DB010000}"/>
    <cellStyle name="_El Dorado 1200 v2 Equity_D_Consolidated2" xfId="477" xr:uid="{00000000-0005-0000-0000-0000DC010000}"/>
    <cellStyle name="_El Dorado 1200 v2 Equity_Model v9.8" xfId="478" xr:uid="{00000000-0005-0000-0000-0000DD010000}"/>
    <cellStyle name="_El Dorado 1200 v2 Equity_Mutilples Template2" xfId="479" xr:uid="{00000000-0005-0000-0000-0000DE010000}"/>
    <cellStyle name="_El Dorado 1200 v2 Equity_Mutilples Template2_Exelon Power Fuel Forecast - Project P 6-11-2004 ver21" xfId="480" xr:uid="{00000000-0005-0000-0000-0000DF010000}"/>
    <cellStyle name="_El Dorado 1200 v2 Equity_Mutilples Template2_ML Outputs" xfId="481" xr:uid="{00000000-0005-0000-0000-0000E0010000}"/>
    <cellStyle name="_El Dorado 1200 v2 Equity_Mutilples Template2_Project Forest Pro Forma Model v58" xfId="482" xr:uid="{00000000-0005-0000-0000-0000E1010000}"/>
    <cellStyle name="_El Dorado 1200 v2 Equity_pom consolidated v3" xfId="483" xr:uid="{00000000-0005-0000-0000-0000E2010000}"/>
    <cellStyle name="_El Dorado 1200 v2 Equity_pom consolidated v3_Exelon Power Fuel Forecast - Project P 6-11-2004 ver21" xfId="484" xr:uid="{00000000-0005-0000-0000-0000E3010000}"/>
    <cellStyle name="_El Dorado 1200 v2 Equity_pom consolidated v3_ML Outputs" xfId="485" xr:uid="{00000000-0005-0000-0000-0000E4010000}"/>
    <cellStyle name="_El Dorado 1200 v2 Equity_pom consolidated v3_Project Forest Pro Forma Model v58" xfId="486" xr:uid="{00000000-0005-0000-0000-0000E5010000}"/>
    <cellStyle name="_El Dorado 3-15" xfId="487" xr:uid="{00000000-0005-0000-0000-0000E6010000}"/>
    <cellStyle name="_El Dorado 3-15_Copy of CNL Consolidated model_v.FPL_v37" xfId="488" xr:uid="{00000000-0005-0000-0000-0000E7010000}"/>
    <cellStyle name="_El Dorado 3-15_Copy of CNL Consolidated model_v.FPL_v37_Exelon Power Fuel Forecast - Project P 6-11-2004 ver21" xfId="489" xr:uid="{00000000-0005-0000-0000-0000E8010000}"/>
    <cellStyle name="_El Dorado 3-15_Copy of CNL Consolidated model_v.FPL_v37_ML Outputs" xfId="490" xr:uid="{00000000-0005-0000-0000-0000E9010000}"/>
    <cellStyle name="_El Dorado 3-15_Copy of CNL Consolidated model_v.FPL_v37_Project Forest Pro Forma Model v58" xfId="491" xr:uid="{00000000-0005-0000-0000-0000EA010000}"/>
    <cellStyle name="_El Dorado 3-15_D_Consolidated2" xfId="492" xr:uid="{00000000-0005-0000-0000-0000EB010000}"/>
    <cellStyle name="_El Dorado 3-15_Model v9.8" xfId="493" xr:uid="{00000000-0005-0000-0000-0000EC010000}"/>
    <cellStyle name="_El Dorado 3-15_Mutilples Template2" xfId="494" xr:uid="{00000000-0005-0000-0000-0000ED010000}"/>
    <cellStyle name="_El Dorado 3-15_Mutilples Template2_Exelon Power Fuel Forecast - Project P 6-11-2004 ver21" xfId="495" xr:uid="{00000000-0005-0000-0000-0000EE010000}"/>
    <cellStyle name="_El Dorado 3-15_Mutilples Template2_ML Outputs" xfId="496" xr:uid="{00000000-0005-0000-0000-0000EF010000}"/>
    <cellStyle name="_El Dorado 3-15_Mutilples Template2_Project Forest Pro Forma Model v58" xfId="497" xr:uid="{00000000-0005-0000-0000-0000F0010000}"/>
    <cellStyle name="_El Dorado 3-15_pom consolidated v3" xfId="498" xr:uid="{00000000-0005-0000-0000-0000F1010000}"/>
    <cellStyle name="_El Dorado 3-15_pom consolidated v3_Exelon Power Fuel Forecast - Project P 6-11-2004 ver21" xfId="499" xr:uid="{00000000-0005-0000-0000-0000F2010000}"/>
    <cellStyle name="_El Dorado 3-15_pom consolidated v3_ML Outputs" xfId="500" xr:uid="{00000000-0005-0000-0000-0000F3010000}"/>
    <cellStyle name="_El Dorado 3-15_pom consolidated v3_Project Forest Pro Forma Model v58" xfId="501" xr:uid="{00000000-0005-0000-0000-0000F4010000}"/>
    <cellStyle name="_El Dorado 3-19" xfId="502" xr:uid="{00000000-0005-0000-0000-0000F5010000}"/>
    <cellStyle name="_El Dorado 3-19_Copy of CNL Consolidated model_v.FPL_v37" xfId="503" xr:uid="{00000000-0005-0000-0000-0000F6010000}"/>
    <cellStyle name="_El Dorado 3-19_Copy of CNL Consolidated model_v.FPL_v37_Exelon Power Fuel Forecast - Project P 6-11-2004 ver21" xfId="504" xr:uid="{00000000-0005-0000-0000-0000F7010000}"/>
    <cellStyle name="_El Dorado 3-19_Copy of CNL Consolidated model_v.FPL_v37_ML Outputs" xfId="505" xr:uid="{00000000-0005-0000-0000-0000F8010000}"/>
    <cellStyle name="_El Dorado 3-19_Copy of CNL Consolidated model_v.FPL_v37_Project Forest Pro Forma Model v58" xfId="506" xr:uid="{00000000-0005-0000-0000-0000F9010000}"/>
    <cellStyle name="_El Dorado 3-19_D_Consolidated2" xfId="507" xr:uid="{00000000-0005-0000-0000-0000FA010000}"/>
    <cellStyle name="_El Dorado 3-19_Model v9.8" xfId="508" xr:uid="{00000000-0005-0000-0000-0000FB010000}"/>
    <cellStyle name="_El Dorado 3-19_Mutilples Template2" xfId="509" xr:uid="{00000000-0005-0000-0000-0000FC010000}"/>
    <cellStyle name="_El Dorado 3-19_Mutilples Template2_Exelon Power Fuel Forecast - Project P 6-11-2004 ver21" xfId="510" xr:uid="{00000000-0005-0000-0000-0000FD010000}"/>
    <cellStyle name="_El Dorado 3-19_Mutilples Template2_ML Outputs" xfId="511" xr:uid="{00000000-0005-0000-0000-0000FE010000}"/>
    <cellStyle name="_El Dorado 3-19_Mutilples Template2_Project Forest Pro Forma Model v58" xfId="512" xr:uid="{00000000-0005-0000-0000-0000FF010000}"/>
    <cellStyle name="_El Dorado 3-19_pom consolidated v3" xfId="513" xr:uid="{00000000-0005-0000-0000-000000020000}"/>
    <cellStyle name="_El Dorado 3-19_pom consolidated v3_Exelon Power Fuel Forecast - Project P 6-11-2004 ver21" xfId="514" xr:uid="{00000000-0005-0000-0000-000001020000}"/>
    <cellStyle name="_El Dorado 3-19_pom consolidated v3_ML Outputs" xfId="515" xr:uid="{00000000-0005-0000-0000-000002020000}"/>
    <cellStyle name="_El Dorado 3-19_pom consolidated v3_Project Forest Pro Forma Model v58" xfId="516" xr:uid="{00000000-0005-0000-0000-000003020000}"/>
    <cellStyle name="_El Dorado Const Bud 06-08-01 Revised 2" xfId="517" xr:uid="{00000000-0005-0000-0000-000004020000}"/>
    <cellStyle name="_El Dorado Const Bud 06-08-01 Revised 2_Copy of CNL Consolidated model_v.FPL_v37" xfId="518" xr:uid="{00000000-0005-0000-0000-000005020000}"/>
    <cellStyle name="_El Dorado Const Bud 06-08-01 Revised 2_Copy of CNL Consolidated model_v.FPL_v37_Exelon Power Fuel Forecast - Project P 6-11-2004 ver21" xfId="519" xr:uid="{00000000-0005-0000-0000-000006020000}"/>
    <cellStyle name="_El Dorado Const Bud 06-08-01 Revised 2_Copy of CNL Consolidated model_v.FPL_v37_ML Outputs" xfId="520" xr:uid="{00000000-0005-0000-0000-000007020000}"/>
    <cellStyle name="_El Dorado Const Bud 06-08-01 Revised 2_Copy of CNL Consolidated model_v.FPL_v37_Project Forest Pro Forma Model v58" xfId="521" xr:uid="{00000000-0005-0000-0000-000008020000}"/>
    <cellStyle name="_El Dorado Const Bud 06-08-01 Revised 2_D_Consolidated2" xfId="522" xr:uid="{00000000-0005-0000-0000-000009020000}"/>
    <cellStyle name="_El Dorado Const Bud 06-08-01 Revised 2_Model v9.8" xfId="523" xr:uid="{00000000-0005-0000-0000-00000A020000}"/>
    <cellStyle name="_El Dorado Const Bud 06-08-01 Revised 2_Mutilples Template2" xfId="524" xr:uid="{00000000-0005-0000-0000-00000B020000}"/>
    <cellStyle name="_El Dorado Const Bud 06-08-01 Revised 2_Mutilples Template2_Exelon Power Fuel Forecast - Project P 6-11-2004 ver21" xfId="525" xr:uid="{00000000-0005-0000-0000-00000C020000}"/>
    <cellStyle name="_El Dorado Const Bud 06-08-01 Revised 2_Mutilples Template2_ML Outputs" xfId="526" xr:uid="{00000000-0005-0000-0000-00000D020000}"/>
    <cellStyle name="_El Dorado Const Bud 06-08-01 Revised 2_Mutilples Template2_Project Forest Pro Forma Model v58" xfId="527" xr:uid="{00000000-0005-0000-0000-00000E020000}"/>
    <cellStyle name="_El Dorado Const Bud 06-08-01 Revised 2_pom consolidated v3" xfId="528" xr:uid="{00000000-0005-0000-0000-00000F020000}"/>
    <cellStyle name="_El Dorado Const Bud 06-08-01 Revised 2_pom consolidated v3_Exelon Power Fuel Forecast - Project P 6-11-2004 ver21" xfId="529" xr:uid="{00000000-0005-0000-0000-000010020000}"/>
    <cellStyle name="_El Dorado Const Bud 06-08-01 Revised 2_pom consolidated v3_ML Outputs" xfId="530" xr:uid="{00000000-0005-0000-0000-000011020000}"/>
    <cellStyle name="_El Dorado Const Bud 06-08-01 Revised 2_pom consolidated v3_Project Forest Pro Forma Model v58" xfId="531" xr:uid="{00000000-0005-0000-0000-000012020000}"/>
    <cellStyle name="_El Dorado Project Model 0900 v2" xfId="532" xr:uid="{00000000-0005-0000-0000-000013020000}"/>
    <cellStyle name="_El Dorado Project Model 0900 v2_Copy of CNL Consolidated model_v.FPL_v37" xfId="533" xr:uid="{00000000-0005-0000-0000-000014020000}"/>
    <cellStyle name="_El Dorado Project Model 0900 v2_Copy of CNL Consolidated model_v.FPL_v37_Exelon Power Fuel Forecast - Project P 6-11-2004 ver21" xfId="534" xr:uid="{00000000-0005-0000-0000-000015020000}"/>
    <cellStyle name="_El Dorado Project Model 0900 v2_Copy of CNL Consolidated model_v.FPL_v37_ML Outputs" xfId="535" xr:uid="{00000000-0005-0000-0000-000016020000}"/>
    <cellStyle name="_El Dorado Project Model 0900 v2_Copy of CNL Consolidated model_v.FPL_v37_Project Forest Pro Forma Model v58" xfId="536" xr:uid="{00000000-0005-0000-0000-000017020000}"/>
    <cellStyle name="_El Dorado Project Model 0900 v2_D_Consolidated2" xfId="537" xr:uid="{00000000-0005-0000-0000-000018020000}"/>
    <cellStyle name="_El Dorado Project Model 0900 v2_Model v9.8" xfId="538" xr:uid="{00000000-0005-0000-0000-000019020000}"/>
    <cellStyle name="_El Dorado Project Model 0900 v2_Mutilples Template2" xfId="539" xr:uid="{00000000-0005-0000-0000-00001A020000}"/>
    <cellStyle name="_El Dorado Project Model 0900 v2_Mutilples Template2_Exelon Power Fuel Forecast - Project P 6-11-2004 ver21" xfId="540" xr:uid="{00000000-0005-0000-0000-00001B020000}"/>
    <cellStyle name="_El Dorado Project Model 0900 v2_Mutilples Template2_ML Outputs" xfId="541" xr:uid="{00000000-0005-0000-0000-00001C020000}"/>
    <cellStyle name="_El Dorado Project Model 0900 v2_Mutilples Template2_Project Forest Pro Forma Model v58" xfId="542" xr:uid="{00000000-0005-0000-0000-00001D020000}"/>
    <cellStyle name="_El Dorado Project Model 0900 v2_pom consolidated v3" xfId="543" xr:uid="{00000000-0005-0000-0000-00001E020000}"/>
    <cellStyle name="_El Dorado Project Model 0900 v2_pom consolidated v3_Exelon Power Fuel Forecast - Project P 6-11-2004 ver21" xfId="544" xr:uid="{00000000-0005-0000-0000-00001F020000}"/>
    <cellStyle name="_El Dorado Project Model 0900 v2_pom consolidated v3_ML Outputs" xfId="545" xr:uid="{00000000-0005-0000-0000-000020020000}"/>
    <cellStyle name="_El Dorado Project Model 0900 v2_pom consolidated v3_Project Forest Pro Forma Model v58" xfId="546" xr:uid="{00000000-0005-0000-0000-000021020000}"/>
    <cellStyle name="_El_Do_Gila_2x2000MW_CC_101100_partcov4_17%_100%const" xfId="547" xr:uid="{00000000-0005-0000-0000-000022020000}"/>
    <cellStyle name="_El_Do_Gila_2x2000MW_CC_101100_partcov4_17%_100%const_Copy of CNL Consolidated model_v.FPL_v37" xfId="548" xr:uid="{00000000-0005-0000-0000-000023020000}"/>
    <cellStyle name="_El_Do_Gila_2x2000MW_CC_101100_partcov4_17%_100%const_Copy of CNL Consolidated model_v.FPL_v37_Exelon Power Fuel Forecast - Project P 6-11-2004 ver21" xfId="549" xr:uid="{00000000-0005-0000-0000-000024020000}"/>
    <cellStyle name="_El_Do_Gila_2x2000MW_CC_101100_partcov4_17%_100%const_Copy of CNL Consolidated model_v.FPL_v37_ML Outputs" xfId="550" xr:uid="{00000000-0005-0000-0000-000025020000}"/>
    <cellStyle name="_El_Do_Gila_2x2000MW_CC_101100_partcov4_17%_100%const_Copy of CNL Consolidated model_v.FPL_v37_Project Forest Pro Forma Model v58" xfId="551" xr:uid="{00000000-0005-0000-0000-000026020000}"/>
    <cellStyle name="_El_Do_Gila_2x2000MW_CC_101100_partcov4_17%_100%const_D_Consolidated2" xfId="552" xr:uid="{00000000-0005-0000-0000-000027020000}"/>
    <cellStyle name="_El_Do_Gila_2x2000MW_CC_101100_partcov4_17%_100%const_Model v9.8" xfId="553" xr:uid="{00000000-0005-0000-0000-000028020000}"/>
    <cellStyle name="_El_Do_Gila_2x2000MW_CC_101100_partcov4_17%_100%const_Mutilples Template2" xfId="554" xr:uid="{00000000-0005-0000-0000-000029020000}"/>
    <cellStyle name="_El_Do_Gila_2x2000MW_CC_101100_partcov4_17%_100%const_Mutilples Template2_Exelon Power Fuel Forecast - Project P 6-11-2004 ver21" xfId="555" xr:uid="{00000000-0005-0000-0000-00002A020000}"/>
    <cellStyle name="_El_Do_Gila_2x2000MW_CC_101100_partcov4_17%_100%const_Mutilples Template2_ML Outputs" xfId="556" xr:uid="{00000000-0005-0000-0000-00002B020000}"/>
    <cellStyle name="_El_Do_Gila_2x2000MW_CC_101100_partcov4_17%_100%const_Mutilples Template2_Project Forest Pro Forma Model v58" xfId="557" xr:uid="{00000000-0005-0000-0000-00002C020000}"/>
    <cellStyle name="_El_Do_Gila_2x2000MW_CC_101100_partcov4_17%_100%const_pom consolidated v3" xfId="558" xr:uid="{00000000-0005-0000-0000-00002D020000}"/>
    <cellStyle name="_El_Do_Gila_2x2000MW_CC_101100_partcov4_17%_100%const_pom consolidated v3_Exelon Power Fuel Forecast - Project P 6-11-2004 ver21" xfId="559" xr:uid="{00000000-0005-0000-0000-00002E020000}"/>
    <cellStyle name="_El_Do_Gila_2x2000MW_CC_101100_partcov4_17%_100%const_pom consolidated v3_ML Outputs" xfId="560" xr:uid="{00000000-0005-0000-0000-00002F020000}"/>
    <cellStyle name="_El_Do_Gila_2x2000MW_CC_101100_partcov4_17%_100%const_pom consolidated v3_Project Forest Pro Forma Model v58" xfId="561" xr:uid="{00000000-0005-0000-0000-000030020000}"/>
    <cellStyle name="_EXC-PSEG PF v5" xfId="562" xr:uid="{00000000-0005-0000-0000-000031020000}"/>
    <cellStyle name="_FE coal model v09.5_05EBITDA" xfId="563" xr:uid="{00000000-0005-0000-0000-000032020000}"/>
    <cellStyle name="_Gila River - Bank Version 12-16" xfId="564" xr:uid="{00000000-0005-0000-0000-000033020000}"/>
    <cellStyle name="_Gila River - Bank Version 12-16_Copy of CNL Consolidated model_v.FPL_v37" xfId="565" xr:uid="{00000000-0005-0000-0000-000034020000}"/>
    <cellStyle name="_Gila River - Bank Version 12-16_Copy of CNL Consolidated model_v.FPL_v37_Exelon Power Fuel Forecast - Project P 6-11-2004 ver21" xfId="566" xr:uid="{00000000-0005-0000-0000-000035020000}"/>
    <cellStyle name="_Gila River - Bank Version 12-16_Copy of CNL Consolidated model_v.FPL_v37_ML Outputs" xfId="567" xr:uid="{00000000-0005-0000-0000-000036020000}"/>
    <cellStyle name="_Gila River - Bank Version 12-16_Copy of CNL Consolidated model_v.FPL_v37_Project Forest Pro Forma Model v58" xfId="568" xr:uid="{00000000-0005-0000-0000-000037020000}"/>
    <cellStyle name="_Gila River - Bank Version 12-16_D_Consolidated2" xfId="569" xr:uid="{00000000-0005-0000-0000-000038020000}"/>
    <cellStyle name="_Gila River - Bank Version 12-16_Model v9.8" xfId="570" xr:uid="{00000000-0005-0000-0000-000039020000}"/>
    <cellStyle name="_Gila River - Bank Version 12-16_Mutilples Template2" xfId="571" xr:uid="{00000000-0005-0000-0000-00003A020000}"/>
    <cellStyle name="_Gila River - Bank Version 12-16_Mutilples Template2_Exelon Power Fuel Forecast - Project P 6-11-2004 ver21" xfId="572" xr:uid="{00000000-0005-0000-0000-00003B020000}"/>
    <cellStyle name="_Gila River - Bank Version 12-16_Mutilples Template2_ML Outputs" xfId="573" xr:uid="{00000000-0005-0000-0000-00003C020000}"/>
    <cellStyle name="_Gila River - Bank Version 12-16_Mutilples Template2_Project Forest Pro Forma Model v58" xfId="574" xr:uid="{00000000-0005-0000-0000-00003D020000}"/>
    <cellStyle name="_Gila River - Bank Version 12-16_pom consolidated v3" xfId="575" xr:uid="{00000000-0005-0000-0000-00003E020000}"/>
    <cellStyle name="_Gila River - Bank Version 12-16_pom consolidated v3_Exelon Power Fuel Forecast - Project P 6-11-2004 ver21" xfId="576" xr:uid="{00000000-0005-0000-0000-00003F020000}"/>
    <cellStyle name="_Gila River - Bank Version 12-16_pom consolidated v3_ML Outputs" xfId="577" xr:uid="{00000000-0005-0000-0000-000040020000}"/>
    <cellStyle name="_Gila River - Bank Version 12-16_pom consolidated v3_Project Forest Pro Forma Model v58" xfId="578" xr:uid="{00000000-0005-0000-0000-000041020000}"/>
    <cellStyle name="_Gila River 062600 v1" xfId="579" xr:uid="{00000000-0005-0000-0000-000042020000}"/>
    <cellStyle name="_Gila River 062600 v1_Copy of CNL Consolidated model_v.FPL_v37" xfId="580" xr:uid="{00000000-0005-0000-0000-000043020000}"/>
    <cellStyle name="_Gila River 062600 v1_Copy of CNL Consolidated model_v.FPL_v37_Exelon Power Fuel Forecast - Project P 6-11-2004 ver21" xfId="581" xr:uid="{00000000-0005-0000-0000-000044020000}"/>
    <cellStyle name="_Gila River 062600 v1_Copy of CNL Consolidated model_v.FPL_v37_ML Outputs" xfId="582" xr:uid="{00000000-0005-0000-0000-000045020000}"/>
    <cellStyle name="_Gila River 062600 v1_Copy of CNL Consolidated model_v.FPL_v37_Project Forest Pro Forma Model v58" xfId="583" xr:uid="{00000000-0005-0000-0000-000046020000}"/>
    <cellStyle name="_Gila River 062600 v1_D_Consolidated2" xfId="584" xr:uid="{00000000-0005-0000-0000-000047020000}"/>
    <cellStyle name="_Gila River 062600 v1_Model v9.8" xfId="585" xr:uid="{00000000-0005-0000-0000-000048020000}"/>
    <cellStyle name="_Gila River 062600 v1_Mutilples Template2" xfId="586" xr:uid="{00000000-0005-0000-0000-000049020000}"/>
    <cellStyle name="_Gila River 062600 v1_Mutilples Template2_Exelon Power Fuel Forecast - Project P 6-11-2004 ver21" xfId="587" xr:uid="{00000000-0005-0000-0000-00004A020000}"/>
    <cellStyle name="_Gila River 062600 v1_Mutilples Template2_ML Outputs" xfId="588" xr:uid="{00000000-0005-0000-0000-00004B020000}"/>
    <cellStyle name="_Gila River 062600 v1_Mutilples Template2_Project Forest Pro Forma Model v58" xfId="589" xr:uid="{00000000-0005-0000-0000-00004C020000}"/>
    <cellStyle name="_Gila River 062600 v1_pom consolidated v3" xfId="590" xr:uid="{00000000-0005-0000-0000-00004D020000}"/>
    <cellStyle name="_Gila River 062600 v1_pom consolidated v3_Exelon Power Fuel Forecast - Project P 6-11-2004 ver21" xfId="591" xr:uid="{00000000-0005-0000-0000-00004E020000}"/>
    <cellStyle name="_Gila River 062600 v1_pom consolidated v3_ML Outputs" xfId="592" xr:uid="{00000000-0005-0000-0000-00004F020000}"/>
    <cellStyle name="_Gila River 062600 v1_pom consolidated v3_Project Forest Pro Forma Model v58" xfId="593" xr:uid="{00000000-0005-0000-0000-000050020000}"/>
    <cellStyle name="_Gila River 2-13.xls Chart 1149" xfId="594" xr:uid="{00000000-0005-0000-0000-000051020000}"/>
    <cellStyle name="_Gila River 2-13.xls Chart 1149_Copy of CNL Consolidated model_v.FPL_v37" xfId="595" xr:uid="{00000000-0005-0000-0000-000052020000}"/>
    <cellStyle name="_Gila River 2-13.xls Chart 1149_Copy of CNL Consolidated model_v.FPL_v37_Exelon Power Fuel Forecast - Project P 6-11-2004 ver21" xfId="596" xr:uid="{00000000-0005-0000-0000-000053020000}"/>
    <cellStyle name="_Gila River 2-13.xls Chart 1149_Copy of CNL Consolidated model_v.FPL_v37_ML Outputs" xfId="597" xr:uid="{00000000-0005-0000-0000-000054020000}"/>
    <cellStyle name="_Gila River 2-13.xls Chart 1149_Copy of CNL Consolidated model_v.FPL_v37_Project Forest Pro Forma Model v58" xfId="598" xr:uid="{00000000-0005-0000-0000-000055020000}"/>
    <cellStyle name="_Gila River 2-13.xls Chart 1149_D_Consolidated2" xfId="599" xr:uid="{00000000-0005-0000-0000-000056020000}"/>
    <cellStyle name="_Gila River 2-13.xls Chart 1149_Model v9.8" xfId="600" xr:uid="{00000000-0005-0000-0000-000057020000}"/>
    <cellStyle name="_Gila River 2-13.xls Chart 1149_Mutilples Template2" xfId="601" xr:uid="{00000000-0005-0000-0000-000058020000}"/>
    <cellStyle name="_Gila River 2-13.xls Chart 1149_Mutilples Template2_Exelon Power Fuel Forecast - Project P 6-11-2004 ver21" xfId="602" xr:uid="{00000000-0005-0000-0000-000059020000}"/>
    <cellStyle name="_Gila River 2-13.xls Chart 1149_Mutilples Template2_ML Outputs" xfId="603" xr:uid="{00000000-0005-0000-0000-00005A020000}"/>
    <cellStyle name="_Gila River 2-13.xls Chart 1149_Mutilples Template2_Project Forest Pro Forma Model v58" xfId="604" xr:uid="{00000000-0005-0000-0000-00005B020000}"/>
    <cellStyle name="_Gila River 2-13.xls Chart 1149_pom consolidated v3" xfId="605" xr:uid="{00000000-0005-0000-0000-00005C020000}"/>
    <cellStyle name="_Gila River 2-13.xls Chart 1149_pom consolidated v3_Exelon Power Fuel Forecast - Project P 6-11-2004 ver21" xfId="606" xr:uid="{00000000-0005-0000-0000-00005D020000}"/>
    <cellStyle name="_Gila River 2-13.xls Chart 1149_pom consolidated v3_ML Outputs" xfId="607" xr:uid="{00000000-0005-0000-0000-00005E020000}"/>
    <cellStyle name="_Gila River 2-13.xls Chart 1149_pom consolidated v3_Project Forest Pro Forma Model v58" xfId="608" xr:uid="{00000000-0005-0000-0000-00005F020000}"/>
    <cellStyle name="_Gila River 3-29_25yr" xfId="609" xr:uid="{00000000-0005-0000-0000-000060020000}"/>
    <cellStyle name="_Gila River 3-29_25yr_Copy of CNL Consolidated model_v.FPL_v37" xfId="610" xr:uid="{00000000-0005-0000-0000-000061020000}"/>
    <cellStyle name="_Gila River 3-29_25yr_Copy of CNL Consolidated model_v.FPL_v37_Exelon Power Fuel Forecast - Project P 6-11-2004 ver21" xfId="611" xr:uid="{00000000-0005-0000-0000-000062020000}"/>
    <cellStyle name="_Gila River 3-29_25yr_Copy of CNL Consolidated model_v.FPL_v37_ML Outputs" xfId="612" xr:uid="{00000000-0005-0000-0000-000063020000}"/>
    <cellStyle name="_Gila River 3-29_25yr_Copy of CNL Consolidated model_v.FPL_v37_Project Forest Pro Forma Model v58" xfId="613" xr:uid="{00000000-0005-0000-0000-000064020000}"/>
    <cellStyle name="_Gila River 3-29_25yr_D_Consolidated2" xfId="614" xr:uid="{00000000-0005-0000-0000-000065020000}"/>
    <cellStyle name="_Gila River 3-29_25yr_Model v9.8" xfId="615" xr:uid="{00000000-0005-0000-0000-000066020000}"/>
    <cellStyle name="_Gila River 3-29_25yr_Mutilples Template2" xfId="616" xr:uid="{00000000-0005-0000-0000-000067020000}"/>
    <cellStyle name="_Gila River 3-29_25yr_Mutilples Template2_Exelon Power Fuel Forecast - Project P 6-11-2004 ver21" xfId="617" xr:uid="{00000000-0005-0000-0000-000068020000}"/>
    <cellStyle name="_Gila River 3-29_25yr_Mutilples Template2_ML Outputs" xfId="618" xr:uid="{00000000-0005-0000-0000-000069020000}"/>
    <cellStyle name="_Gila River 3-29_25yr_Mutilples Template2_Project Forest Pro Forma Model v58" xfId="619" xr:uid="{00000000-0005-0000-0000-00006A020000}"/>
    <cellStyle name="_Gila River 3-29_25yr_pom consolidated v3" xfId="620" xr:uid="{00000000-0005-0000-0000-00006B020000}"/>
    <cellStyle name="_Gila River 3-29_25yr_pom consolidated v3_Exelon Power Fuel Forecast - Project P 6-11-2004 ver21" xfId="621" xr:uid="{00000000-0005-0000-0000-00006C020000}"/>
    <cellStyle name="_Gila River 3-29_25yr_pom consolidated v3_ML Outputs" xfId="622" xr:uid="{00000000-0005-0000-0000-00006D020000}"/>
    <cellStyle name="_Gila River 3-29_25yr_pom consolidated v3_Project Forest Pro Forma Model v58" xfId="623" xr:uid="{00000000-0005-0000-0000-00006E020000}"/>
    <cellStyle name="_GOODWILL" xfId="624" xr:uid="{00000000-0005-0000-0000-00006F020000}"/>
    <cellStyle name="_Hamakua_refinance_042301" xfId="625" xr:uid="{00000000-0005-0000-0000-000070020000}"/>
    <cellStyle name="_Hamakua_refinance_042301_Copy of CNL Consolidated model_v.FPL_v37" xfId="626" xr:uid="{00000000-0005-0000-0000-000071020000}"/>
    <cellStyle name="_Hamakua_refinance_042301_Copy of CNL Consolidated model_v.FPL_v37_Exelon Power Fuel Forecast - Project P 6-11-2004 ver21" xfId="627" xr:uid="{00000000-0005-0000-0000-000072020000}"/>
    <cellStyle name="_Hamakua_refinance_042301_Copy of CNL Consolidated model_v.FPL_v37_ML Outputs" xfId="628" xr:uid="{00000000-0005-0000-0000-000073020000}"/>
    <cellStyle name="_Hamakua_refinance_042301_Copy of CNL Consolidated model_v.FPL_v37_Project Forest Pro Forma Model v58" xfId="629" xr:uid="{00000000-0005-0000-0000-000074020000}"/>
    <cellStyle name="_Hamakua_refinance_042301_D_Consolidated2" xfId="630" xr:uid="{00000000-0005-0000-0000-000075020000}"/>
    <cellStyle name="_Hamakua_refinance_042301_Model v9.8" xfId="631" xr:uid="{00000000-0005-0000-0000-000076020000}"/>
    <cellStyle name="_Hamakua_refinance_042301_Mutilples Template2" xfId="632" xr:uid="{00000000-0005-0000-0000-000077020000}"/>
    <cellStyle name="_Hamakua_refinance_042301_Mutilples Template2_Exelon Power Fuel Forecast - Project P 6-11-2004 ver21" xfId="633" xr:uid="{00000000-0005-0000-0000-000078020000}"/>
    <cellStyle name="_Hamakua_refinance_042301_Mutilples Template2_ML Outputs" xfId="634" xr:uid="{00000000-0005-0000-0000-000079020000}"/>
    <cellStyle name="_Hamakua_refinance_042301_Mutilples Template2_Project Forest Pro Forma Model v58" xfId="635" xr:uid="{00000000-0005-0000-0000-00007A020000}"/>
    <cellStyle name="_Hamakua_refinance_042301_pom consolidated v3" xfId="636" xr:uid="{00000000-0005-0000-0000-00007B020000}"/>
    <cellStyle name="_Hamakua_refinance_042301_pom consolidated v3_Exelon Power Fuel Forecast - Project P 6-11-2004 ver21" xfId="637" xr:uid="{00000000-0005-0000-0000-00007C020000}"/>
    <cellStyle name="_Hamakua_refinance_042301_pom consolidated v3_ML Outputs" xfId="638" xr:uid="{00000000-0005-0000-0000-00007D020000}"/>
    <cellStyle name="_Hamakua_refinance_042301_pom consolidated v3_Project Forest Pro Forma Model v58" xfId="639" xr:uid="{00000000-0005-0000-0000-00007E020000}"/>
    <cellStyle name="_Illinois 111100 v1" xfId="640" xr:uid="{00000000-0005-0000-0000-00007F020000}"/>
    <cellStyle name="_Illinois 111100 v1_Copy of CNL Consolidated model_v.FPL_v37" xfId="641" xr:uid="{00000000-0005-0000-0000-000080020000}"/>
    <cellStyle name="_Illinois 111100 v1_Copy of CNL Consolidated model_v.FPL_v37_Exelon Power Fuel Forecast - Project P 6-11-2004 ver21" xfId="642" xr:uid="{00000000-0005-0000-0000-000081020000}"/>
    <cellStyle name="_Illinois 111100 v1_Copy of CNL Consolidated model_v.FPL_v37_ML Outputs" xfId="643" xr:uid="{00000000-0005-0000-0000-000082020000}"/>
    <cellStyle name="_Illinois 111100 v1_Copy of CNL Consolidated model_v.FPL_v37_Project Forest Pro Forma Model v58" xfId="644" xr:uid="{00000000-0005-0000-0000-000083020000}"/>
    <cellStyle name="_Illinois 111100 v1_D_Consolidated2" xfId="645" xr:uid="{00000000-0005-0000-0000-000084020000}"/>
    <cellStyle name="_Illinois 111100 v1_Model v9.8" xfId="646" xr:uid="{00000000-0005-0000-0000-000085020000}"/>
    <cellStyle name="_Illinois 111100 v1_Mutilples Template2" xfId="647" xr:uid="{00000000-0005-0000-0000-000086020000}"/>
    <cellStyle name="_Illinois 111100 v1_Mutilples Template2_Exelon Power Fuel Forecast - Project P 6-11-2004 ver21" xfId="648" xr:uid="{00000000-0005-0000-0000-000087020000}"/>
    <cellStyle name="_Illinois 111100 v1_Mutilples Template2_ML Outputs" xfId="649" xr:uid="{00000000-0005-0000-0000-000088020000}"/>
    <cellStyle name="_Illinois 111100 v1_Mutilples Template2_Project Forest Pro Forma Model v58" xfId="650" xr:uid="{00000000-0005-0000-0000-000089020000}"/>
    <cellStyle name="_Illinois 111100 v1_pom consolidated v3" xfId="651" xr:uid="{00000000-0005-0000-0000-00008A020000}"/>
    <cellStyle name="_Illinois 111100 v1_pom consolidated v3_Exelon Power Fuel Forecast - Project P 6-11-2004 ver21" xfId="652" xr:uid="{00000000-0005-0000-0000-00008B020000}"/>
    <cellStyle name="_Illinois 111100 v1_pom consolidated v3_ML Outputs" xfId="653" xr:uid="{00000000-0005-0000-0000-00008C020000}"/>
    <cellStyle name="_Illinois 111100 v1_pom consolidated v3_Project Forest Pro Forma Model v58" xfId="654" xr:uid="{00000000-0005-0000-0000-00008D020000}"/>
    <cellStyle name="_LDC Rate Base Model_v5" xfId="655" xr:uid="{00000000-0005-0000-0000-00008E020000}"/>
    <cellStyle name="_LDC Rate Base Model_v5_Exelon Power Fuel Forecast - Project P 6-11-2004 ver21" xfId="656" xr:uid="{00000000-0005-0000-0000-00008F020000}"/>
    <cellStyle name="_LDC Rate Base Model_v5_ML Outputs" xfId="657" xr:uid="{00000000-0005-0000-0000-000090020000}"/>
    <cellStyle name="_LDC Rate Base Model_v5_Project Forest Pro Forma Model v58" xfId="658" xr:uid="{00000000-0005-0000-0000-000091020000}"/>
    <cellStyle name="_Loan Draw Schedule" xfId="659" xr:uid="{00000000-0005-0000-0000-000092020000}"/>
    <cellStyle name="_Loan Draw Schedule_Copy of CNL Consolidated model_v.FPL_v37" xfId="660" xr:uid="{00000000-0005-0000-0000-000093020000}"/>
    <cellStyle name="_Loan Draw Schedule_Copy of CNL Consolidated model_v.FPL_v37_Exelon Power Fuel Forecast - Project P 6-11-2004 ver21" xfId="661" xr:uid="{00000000-0005-0000-0000-000094020000}"/>
    <cellStyle name="_Loan Draw Schedule_Copy of CNL Consolidated model_v.FPL_v37_ML Outputs" xfId="662" xr:uid="{00000000-0005-0000-0000-000095020000}"/>
    <cellStyle name="_Loan Draw Schedule_Copy of CNL Consolidated model_v.FPL_v37_Project Forest Pro Forma Model v58" xfId="663" xr:uid="{00000000-0005-0000-0000-000096020000}"/>
    <cellStyle name="_Loan Draw Schedule_D_Consolidated2" xfId="664" xr:uid="{00000000-0005-0000-0000-000097020000}"/>
    <cellStyle name="_Loan Draw Schedule_Model v9.8" xfId="665" xr:uid="{00000000-0005-0000-0000-000098020000}"/>
    <cellStyle name="_Loan Draw Schedule_Mutilples Template2" xfId="666" xr:uid="{00000000-0005-0000-0000-000099020000}"/>
    <cellStyle name="_Loan Draw Schedule_Mutilples Template2_Exelon Power Fuel Forecast - Project P 6-11-2004 ver21" xfId="667" xr:uid="{00000000-0005-0000-0000-00009A020000}"/>
    <cellStyle name="_Loan Draw Schedule_Mutilples Template2_ML Outputs" xfId="668" xr:uid="{00000000-0005-0000-0000-00009B020000}"/>
    <cellStyle name="_Loan Draw Schedule_Mutilples Template2_Project Forest Pro Forma Model v58" xfId="669" xr:uid="{00000000-0005-0000-0000-00009C020000}"/>
    <cellStyle name="_Loan Draw Schedule_pom consolidated v3" xfId="670" xr:uid="{00000000-0005-0000-0000-00009D020000}"/>
    <cellStyle name="_Loan Draw Schedule_pom consolidated v3_Exelon Power Fuel Forecast - Project P 6-11-2004 ver21" xfId="671" xr:uid="{00000000-0005-0000-0000-00009E020000}"/>
    <cellStyle name="_Loan Draw Schedule_pom consolidated v3_ML Outputs" xfId="672" xr:uid="{00000000-0005-0000-0000-00009F020000}"/>
    <cellStyle name="_Loan Draw Schedule_pom consolidated v3_Project Forest Pro Forma Model v58" xfId="673" xr:uid="{00000000-0005-0000-0000-0000A0020000}"/>
    <cellStyle name="_Merger_PSEG_v9.2" xfId="674" xr:uid="{00000000-0005-0000-0000-0000A1020000}"/>
    <cellStyle name="_Merger_PSEG_v9.2_Exelon Power Fuel Forecast - Project P 6-11-2004 ver21" xfId="675" xr:uid="{00000000-0005-0000-0000-0000A2020000}"/>
    <cellStyle name="_Merger_PSEG_v9.2_ML Outputs" xfId="676" xr:uid="{00000000-0005-0000-0000-0000A3020000}"/>
    <cellStyle name="_Merger_PSEG_v9.2_Project Forest Pro Forma Model v58" xfId="677" xr:uid="{00000000-0005-0000-0000-0000A4020000}"/>
    <cellStyle name="_Missouri 0502 v6_TPS_PPA" xfId="678" xr:uid="{00000000-0005-0000-0000-0000A5020000}"/>
    <cellStyle name="_Missouri 0502 v6_TPS_PPA_Copy of CNL Consolidated model_v.FPL_v37" xfId="679" xr:uid="{00000000-0005-0000-0000-0000A6020000}"/>
    <cellStyle name="_Missouri 0502 v6_TPS_PPA_Copy of CNL Consolidated model_v.FPL_v37_Exelon Power Fuel Forecast - Project P 6-11-2004 ver21" xfId="680" xr:uid="{00000000-0005-0000-0000-0000A7020000}"/>
    <cellStyle name="_Missouri 0502 v6_TPS_PPA_Copy of CNL Consolidated model_v.FPL_v37_ML Outputs" xfId="681" xr:uid="{00000000-0005-0000-0000-0000A8020000}"/>
    <cellStyle name="_Missouri 0502 v6_TPS_PPA_Copy of CNL Consolidated model_v.FPL_v37_Project Forest Pro Forma Model v58" xfId="682" xr:uid="{00000000-0005-0000-0000-0000A9020000}"/>
    <cellStyle name="_Missouri 0502 v6_TPS_PPA_D_Consolidated2" xfId="683" xr:uid="{00000000-0005-0000-0000-0000AA020000}"/>
    <cellStyle name="_Missouri 0502 v6_TPS_PPA_Model v9.8" xfId="684" xr:uid="{00000000-0005-0000-0000-0000AB020000}"/>
    <cellStyle name="_Missouri 0502 v6_TPS_PPA_Mutilples Template2" xfId="685" xr:uid="{00000000-0005-0000-0000-0000AC020000}"/>
    <cellStyle name="_Missouri 0502 v6_TPS_PPA_Mutilples Template2_Exelon Power Fuel Forecast - Project P 6-11-2004 ver21" xfId="686" xr:uid="{00000000-0005-0000-0000-0000AD020000}"/>
    <cellStyle name="_Missouri 0502 v6_TPS_PPA_Mutilples Template2_ML Outputs" xfId="687" xr:uid="{00000000-0005-0000-0000-0000AE020000}"/>
    <cellStyle name="_Missouri 0502 v6_TPS_PPA_Mutilples Template2_Project Forest Pro Forma Model v58" xfId="688" xr:uid="{00000000-0005-0000-0000-0000AF020000}"/>
    <cellStyle name="_Missouri 0502 v6_TPS_PPA_pom consolidated v3" xfId="689" xr:uid="{00000000-0005-0000-0000-0000B0020000}"/>
    <cellStyle name="_Missouri 0502 v6_TPS_PPA_pom consolidated v3_Exelon Power Fuel Forecast - Project P 6-11-2004 ver21" xfId="690" xr:uid="{00000000-0005-0000-0000-0000B1020000}"/>
    <cellStyle name="_Missouri 0502 v6_TPS_PPA_pom consolidated v3_ML Outputs" xfId="691" xr:uid="{00000000-0005-0000-0000-0000B2020000}"/>
    <cellStyle name="_Missouri 0502 v6_TPS_PPA_pom consolidated v3_Project Forest Pro Forma Model v58" xfId="692" xr:uid="{00000000-0005-0000-0000-0000B3020000}"/>
    <cellStyle name="_ML Outputs" xfId="693" xr:uid="{00000000-0005-0000-0000-0000B4020000}"/>
    <cellStyle name="_Model v9.8" xfId="694" xr:uid="{00000000-0005-0000-0000-0000B5020000}"/>
    <cellStyle name="_Mutilples Template2" xfId="695" xr:uid="{00000000-0005-0000-0000-0000B6020000}"/>
    <cellStyle name="_Mutilples Template2_Exelon Power Fuel Forecast - Project P 6-11-2004 ver21" xfId="696" xr:uid="{00000000-0005-0000-0000-0000B7020000}"/>
    <cellStyle name="_Mutilples Template2_ML Outputs" xfId="697" xr:uid="{00000000-0005-0000-0000-0000B8020000}"/>
    <cellStyle name="_Mutilples Template2_Project Forest Pro Forma Model v58" xfId="698" xr:uid="{00000000-0005-0000-0000-0000B9020000}"/>
    <cellStyle name="_Oneta 052200 v1" xfId="699" xr:uid="{00000000-0005-0000-0000-0000BA020000}"/>
    <cellStyle name="_Oneta 052200 v1_Copy of CNL Consolidated model_v.FPL_v37" xfId="700" xr:uid="{00000000-0005-0000-0000-0000BB020000}"/>
    <cellStyle name="_Oneta 052200 v1_Copy of CNL Consolidated model_v.FPL_v37_Exelon Power Fuel Forecast - Project P 6-11-2004 ver21" xfId="701" xr:uid="{00000000-0005-0000-0000-0000BC020000}"/>
    <cellStyle name="_Oneta 052200 v1_Copy of CNL Consolidated model_v.FPL_v37_ML Outputs" xfId="702" xr:uid="{00000000-0005-0000-0000-0000BD020000}"/>
    <cellStyle name="_Oneta 052200 v1_Copy of CNL Consolidated model_v.FPL_v37_Project Forest Pro Forma Model v58" xfId="703" xr:uid="{00000000-0005-0000-0000-0000BE020000}"/>
    <cellStyle name="_Oneta 052200 v1_D_Consolidated2" xfId="704" xr:uid="{00000000-0005-0000-0000-0000BF020000}"/>
    <cellStyle name="_Oneta 052200 v1_Model v9.8" xfId="705" xr:uid="{00000000-0005-0000-0000-0000C0020000}"/>
    <cellStyle name="_Oneta 052200 v1_Mutilples Template2" xfId="706" xr:uid="{00000000-0005-0000-0000-0000C1020000}"/>
    <cellStyle name="_Oneta 052200 v1_Mutilples Template2_Exelon Power Fuel Forecast - Project P 6-11-2004 ver21" xfId="707" xr:uid="{00000000-0005-0000-0000-0000C2020000}"/>
    <cellStyle name="_Oneta 052200 v1_Mutilples Template2_ML Outputs" xfId="708" xr:uid="{00000000-0005-0000-0000-0000C3020000}"/>
    <cellStyle name="_Oneta 052200 v1_Mutilples Template2_Project Forest Pro Forma Model v58" xfId="709" xr:uid="{00000000-0005-0000-0000-0000C4020000}"/>
    <cellStyle name="_Oneta 052200 v1_pom consolidated v3" xfId="710" xr:uid="{00000000-0005-0000-0000-0000C5020000}"/>
    <cellStyle name="_Oneta 052200 v1_pom consolidated v3_Exelon Power Fuel Forecast - Project P 6-11-2004 ver21" xfId="711" xr:uid="{00000000-0005-0000-0000-0000C6020000}"/>
    <cellStyle name="_Oneta 052200 v1_pom consolidated v3_ML Outputs" xfId="712" xr:uid="{00000000-0005-0000-0000-0000C7020000}"/>
    <cellStyle name="_Oneta 052200 v1_pom consolidated v3_Project Forest Pro Forma Model v58" xfId="713" xr:uid="{00000000-0005-0000-0000-0000C8020000}"/>
    <cellStyle name="_Oneta 061300" xfId="714" xr:uid="{00000000-0005-0000-0000-0000C9020000}"/>
    <cellStyle name="_Oneta 061300_Copy of CNL Consolidated model_v.FPL_v37" xfId="715" xr:uid="{00000000-0005-0000-0000-0000CA020000}"/>
    <cellStyle name="_Oneta 061300_Copy of CNL Consolidated model_v.FPL_v37_Exelon Power Fuel Forecast - Project P 6-11-2004 ver21" xfId="716" xr:uid="{00000000-0005-0000-0000-0000CB020000}"/>
    <cellStyle name="_Oneta 061300_Copy of CNL Consolidated model_v.FPL_v37_ML Outputs" xfId="717" xr:uid="{00000000-0005-0000-0000-0000CC020000}"/>
    <cellStyle name="_Oneta 061300_Copy of CNL Consolidated model_v.FPL_v37_Project Forest Pro Forma Model v58" xfId="718" xr:uid="{00000000-0005-0000-0000-0000CD020000}"/>
    <cellStyle name="_Oneta 061300_D_Consolidated2" xfId="719" xr:uid="{00000000-0005-0000-0000-0000CE020000}"/>
    <cellStyle name="_Oneta 061300_Model v9.8" xfId="720" xr:uid="{00000000-0005-0000-0000-0000CF020000}"/>
    <cellStyle name="_Oneta 061300_Mutilples Template2" xfId="721" xr:uid="{00000000-0005-0000-0000-0000D0020000}"/>
    <cellStyle name="_Oneta 061300_Mutilples Template2_Exelon Power Fuel Forecast - Project P 6-11-2004 ver21" xfId="722" xr:uid="{00000000-0005-0000-0000-0000D1020000}"/>
    <cellStyle name="_Oneta 061300_Mutilples Template2_ML Outputs" xfId="723" xr:uid="{00000000-0005-0000-0000-0000D2020000}"/>
    <cellStyle name="_Oneta 061300_Mutilples Template2_Project Forest Pro Forma Model v58" xfId="724" xr:uid="{00000000-0005-0000-0000-0000D3020000}"/>
    <cellStyle name="_Oneta 061300_pom consolidated v3" xfId="725" xr:uid="{00000000-0005-0000-0000-0000D4020000}"/>
    <cellStyle name="_Oneta 061300_pom consolidated v3_Exelon Power Fuel Forecast - Project P 6-11-2004 ver21" xfId="726" xr:uid="{00000000-0005-0000-0000-0000D5020000}"/>
    <cellStyle name="_Oneta 061300_pom consolidated v3_ML Outputs" xfId="727" xr:uid="{00000000-0005-0000-0000-0000D6020000}"/>
    <cellStyle name="_Oneta 061300_pom consolidated v3_Project Forest Pro Forma Model v58" xfId="728" xr:uid="{00000000-0005-0000-0000-0000D7020000}"/>
    <cellStyle name="_Papaya_Elektro_v03" xfId="729" xr:uid="{00000000-0005-0000-0000-0000D8020000}"/>
    <cellStyle name="_Papaya_Elektro_v04" xfId="730" xr:uid="{00000000-0005-0000-0000-0000D9020000}"/>
    <cellStyle name="_pom consolidated v3" xfId="731" xr:uid="{00000000-0005-0000-0000-0000DA020000}"/>
    <cellStyle name="_pom consolidated v3_Exelon Power Fuel Forecast - Project P 6-11-2004 ver21" xfId="732" xr:uid="{00000000-0005-0000-0000-0000DB020000}"/>
    <cellStyle name="_pom consolidated v3_ML Outputs" xfId="733" xr:uid="{00000000-0005-0000-0000-0000DC020000}"/>
    <cellStyle name="_pom consolidated v3_Project Forest Pro Forma Model v58" xfId="734" xr:uid="{00000000-0005-0000-0000-0000DD020000}"/>
    <cellStyle name="_PPA Curve Analysis" xfId="735" xr:uid="{00000000-0005-0000-0000-0000DE020000}"/>
    <cellStyle name="_PPA Curve Analysis_Copy of CNL Consolidated model_v.FPL_v37" xfId="736" xr:uid="{00000000-0005-0000-0000-0000DF020000}"/>
    <cellStyle name="_PPA Curve Analysis_Copy of CNL Consolidated model_v.FPL_v37_Exelon Power Fuel Forecast - Project P 6-11-2004 ver21" xfId="737" xr:uid="{00000000-0005-0000-0000-0000E0020000}"/>
    <cellStyle name="_PPA Curve Analysis_Copy of CNL Consolidated model_v.FPL_v37_ML Outputs" xfId="738" xr:uid="{00000000-0005-0000-0000-0000E1020000}"/>
    <cellStyle name="_PPA Curve Analysis_Copy of CNL Consolidated model_v.FPL_v37_Project Forest Pro Forma Model v58" xfId="739" xr:uid="{00000000-0005-0000-0000-0000E2020000}"/>
    <cellStyle name="_PPA Curve Analysis_D_Consolidated2" xfId="740" xr:uid="{00000000-0005-0000-0000-0000E3020000}"/>
    <cellStyle name="_PPA Curve Analysis_Model v9.8" xfId="741" xr:uid="{00000000-0005-0000-0000-0000E4020000}"/>
    <cellStyle name="_PPA Curve Analysis_Mutilples Template2" xfId="742" xr:uid="{00000000-0005-0000-0000-0000E5020000}"/>
    <cellStyle name="_PPA Curve Analysis_Mutilples Template2_Exelon Power Fuel Forecast - Project P 6-11-2004 ver21" xfId="743" xr:uid="{00000000-0005-0000-0000-0000E6020000}"/>
    <cellStyle name="_PPA Curve Analysis_Mutilples Template2_ML Outputs" xfId="744" xr:uid="{00000000-0005-0000-0000-0000E7020000}"/>
    <cellStyle name="_PPA Curve Analysis_Mutilples Template2_Project Forest Pro Forma Model v58" xfId="745" xr:uid="{00000000-0005-0000-0000-0000E8020000}"/>
    <cellStyle name="_PPA Curve Analysis_pom consolidated v3" xfId="746" xr:uid="{00000000-0005-0000-0000-0000E9020000}"/>
    <cellStyle name="_PPA Curve Analysis_pom consolidated v3_Exelon Power Fuel Forecast - Project P 6-11-2004 ver21" xfId="747" xr:uid="{00000000-0005-0000-0000-0000EA020000}"/>
    <cellStyle name="_PPA Curve Analysis_pom consolidated v3_ML Outputs" xfId="748" xr:uid="{00000000-0005-0000-0000-0000EB020000}"/>
    <cellStyle name="_PPA Curve Analysis_pom consolidated v3_Project Forest Pro Forma Model v58" xfId="749" xr:uid="{00000000-0005-0000-0000-0000EC020000}"/>
    <cellStyle name="_Project Forest Pro Forma Model v58" xfId="750" xr:uid="{00000000-0005-0000-0000-0000ED020000}"/>
    <cellStyle name="_Project Model Form Links" xfId="751" xr:uid="{00000000-0005-0000-0000-0000EE020000}"/>
    <cellStyle name="_Project Model Form Links_Copy of CNL Consolidated model_v.FPL_v37" xfId="752" xr:uid="{00000000-0005-0000-0000-0000EF020000}"/>
    <cellStyle name="_Project Model Form Links_Copy of CNL Consolidated model_v.FPL_v37_Exelon Power Fuel Forecast - Project P 6-11-2004 ver21" xfId="753" xr:uid="{00000000-0005-0000-0000-0000F0020000}"/>
    <cellStyle name="_Project Model Form Links_Copy of CNL Consolidated model_v.FPL_v37_ML Outputs" xfId="754" xr:uid="{00000000-0005-0000-0000-0000F1020000}"/>
    <cellStyle name="_Project Model Form Links_Copy of CNL Consolidated model_v.FPL_v37_Project Forest Pro Forma Model v58" xfId="755" xr:uid="{00000000-0005-0000-0000-0000F2020000}"/>
    <cellStyle name="_Project Model Form Links_D_Consolidated2" xfId="756" xr:uid="{00000000-0005-0000-0000-0000F3020000}"/>
    <cellStyle name="_Project Model Form Links_Model v9.8" xfId="757" xr:uid="{00000000-0005-0000-0000-0000F4020000}"/>
    <cellStyle name="_Project Model Form Links_Mutilples Template2" xfId="758" xr:uid="{00000000-0005-0000-0000-0000F5020000}"/>
    <cellStyle name="_Project Model Form Links_Mutilples Template2_Exelon Power Fuel Forecast - Project P 6-11-2004 ver21" xfId="759" xr:uid="{00000000-0005-0000-0000-0000F6020000}"/>
    <cellStyle name="_Project Model Form Links_Mutilples Template2_ML Outputs" xfId="760" xr:uid="{00000000-0005-0000-0000-0000F7020000}"/>
    <cellStyle name="_Project Model Form Links_Mutilples Template2_Project Forest Pro Forma Model v58" xfId="761" xr:uid="{00000000-0005-0000-0000-0000F8020000}"/>
    <cellStyle name="_Project Model Form Links_pom consolidated v3" xfId="762" xr:uid="{00000000-0005-0000-0000-0000F9020000}"/>
    <cellStyle name="_Project Model Form Links_pom consolidated v3_Exelon Power Fuel Forecast - Project P 6-11-2004 ver21" xfId="763" xr:uid="{00000000-0005-0000-0000-0000FA020000}"/>
    <cellStyle name="_Project Model Form Links_pom consolidated v3_ML Outputs" xfId="764" xr:uid="{00000000-0005-0000-0000-0000FB020000}"/>
    <cellStyle name="_Project Model Form Links_pom consolidated v3_Project Forest Pro Forma Model v58" xfId="765" xr:uid="{00000000-0005-0000-0000-0000FC020000}"/>
    <cellStyle name="_PSEG Consolidated Model ver 23" xfId="766" xr:uid="{00000000-0005-0000-0000-0000FD020000}"/>
    <cellStyle name="_Rating Agency Analysis v2" xfId="767" xr:uid="{00000000-0005-0000-0000-0000FE020000}"/>
    <cellStyle name="_Rating Agency Analysis v2_Copy of CNL Consolidated model_v.FPL_v37" xfId="768" xr:uid="{00000000-0005-0000-0000-0000FF020000}"/>
    <cellStyle name="_Rating Agency Analysis v2_Copy of CNL Consolidated model_v.FPL_v37_Exelon Power Fuel Forecast - Project P 6-11-2004 ver21" xfId="769" xr:uid="{00000000-0005-0000-0000-000000030000}"/>
    <cellStyle name="_Rating Agency Analysis v2_Copy of CNL Consolidated model_v.FPL_v37_ML Outputs" xfId="770" xr:uid="{00000000-0005-0000-0000-000001030000}"/>
    <cellStyle name="_Rating Agency Analysis v2_Copy of CNL Consolidated model_v.FPL_v37_Project Forest Pro Forma Model v58" xfId="771" xr:uid="{00000000-0005-0000-0000-000002030000}"/>
    <cellStyle name="_Rating Agency Analysis v2_D_Consolidated2" xfId="772" xr:uid="{00000000-0005-0000-0000-000003030000}"/>
    <cellStyle name="_Rating Agency Analysis v2_Model v9.8" xfId="773" xr:uid="{00000000-0005-0000-0000-000004030000}"/>
    <cellStyle name="_Rating Agency Analysis v2_Mutilples Template2" xfId="774" xr:uid="{00000000-0005-0000-0000-000005030000}"/>
    <cellStyle name="_Rating Agency Analysis v2_Mutilples Template2_Exelon Power Fuel Forecast - Project P 6-11-2004 ver21" xfId="775" xr:uid="{00000000-0005-0000-0000-000006030000}"/>
    <cellStyle name="_Rating Agency Analysis v2_Mutilples Template2_ML Outputs" xfId="776" xr:uid="{00000000-0005-0000-0000-000007030000}"/>
    <cellStyle name="_Rating Agency Analysis v2_Mutilples Template2_Project Forest Pro Forma Model v58" xfId="777" xr:uid="{00000000-0005-0000-0000-000008030000}"/>
    <cellStyle name="_Rating Agency Analysis v2_pom consolidated v3" xfId="778" xr:uid="{00000000-0005-0000-0000-000009030000}"/>
    <cellStyle name="_Rating Agency Analysis v2_pom consolidated v3_Exelon Power Fuel Forecast - Project P 6-11-2004 ver21" xfId="779" xr:uid="{00000000-0005-0000-0000-00000A030000}"/>
    <cellStyle name="_Rating Agency Analysis v2_pom consolidated v3_ML Outputs" xfId="780" xr:uid="{00000000-0005-0000-0000-00000B030000}"/>
    <cellStyle name="_Rating Agency Analysis v2_pom consolidated v3_Project Forest Pro Forma Model v58" xfId="781" xr:uid="{00000000-0005-0000-0000-00000C030000}"/>
    <cellStyle name="_ROCE template" xfId="782" xr:uid="{00000000-0005-0000-0000-00000D030000}"/>
    <cellStyle name="_SUE_LATAM-final" xfId="783" xr:uid="{00000000-0005-0000-0000-00000E030000}"/>
    <cellStyle name="_Tampa_Model_v3" xfId="784" xr:uid="{00000000-0005-0000-0000-00000F030000}"/>
    <cellStyle name="_Tampa_Model_v3_Exelon Power Fuel Forecast - Project P 6-11-2004 ver21" xfId="785" xr:uid="{00000000-0005-0000-0000-000010030000}"/>
    <cellStyle name="_Tampa_Model_v3_ML Outputs" xfId="786" xr:uid="{00000000-0005-0000-0000-000011030000}"/>
    <cellStyle name="_Tampa_Model_v3_Project Forest Pro Forma Model v58" xfId="787" xr:uid="{00000000-0005-0000-0000-000012030000}"/>
    <cellStyle name="_Teco Coal_5" xfId="788" xr:uid="{00000000-0005-0000-0000-000013030000}"/>
    <cellStyle name="_Teco Coal_5_Exelon Power Fuel Forecast - Project P 6-11-2004 ver21" xfId="789" xr:uid="{00000000-0005-0000-0000-000014030000}"/>
    <cellStyle name="_Teco Coal_5_ML Outputs" xfId="790" xr:uid="{00000000-0005-0000-0000-000015030000}"/>
    <cellStyle name="_Teco Coal_5_Project Forest Pro Forma Model v58" xfId="791" xr:uid="{00000000-0005-0000-0000-000016030000}"/>
    <cellStyle name="_TECO Combined Return Analysis NEW 01-23-01" xfId="792" xr:uid="{00000000-0005-0000-0000-000017030000}"/>
    <cellStyle name="_TECO Combined Return Analysis NEW 01-23-01_Copy of CNL Consolidated model_v.FPL_v37" xfId="793" xr:uid="{00000000-0005-0000-0000-000018030000}"/>
    <cellStyle name="_TECO Combined Return Analysis NEW 01-23-01_Copy of CNL Consolidated model_v.FPL_v37_Exelon Power Fuel Forecast - Project P 6-11-2004 ver21" xfId="794" xr:uid="{00000000-0005-0000-0000-000019030000}"/>
    <cellStyle name="_TECO Combined Return Analysis NEW 01-23-01_Copy of CNL Consolidated model_v.FPL_v37_ML Outputs" xfId="795" xr:uid="{00000000-0005-0000-0000-00001A030000}"/>
    <cellStyle name="_TECO Combined Return Analysis NEW 01-23-01_Copy of CNL Consolidated model_v.FPL_v37_Project Forest Pro Forma Model v58" xfId="796" xr:uid="{00000000-0005-0000-0000-00001B030000}"/>
    <cellStyle name="_TECO Combined Return Analysis NEW 01-23-01_D_Consolidated2" xfId="797" xr:uid="{00000000-0005-0000-0000-00001C030000}"/>
    <cellStyle name="_TECO Combined Return Analysis NEW 01-23-01_Model v9.8" xfId="798" xr:uid="{00000000-0005-0000-0000-00001D030000}"/>
    <cellStyle name="_TECO Combined Return Analysis NEW 01-23-01_Mutilples Template2" xfId="799" xr:uid="{00000000-0005-0000-0000-00001E030000}"/>
    <cellStyle name="_TECO Combined Return Analysis NEW 01-23-01_Mutilples Template2_Exelon Power Fuel Forecast - Project P 6-11-2004 ver21" xfId="800" xr:uid="{00000000-0005-0000-0000-00001F030000}"/>
    <cellStyle name="_TECO Combined Return Analysis NEW 01-23-01_Mutilples Template2_ML Outputs" xfId="801" xr:uid="{00000000-0005-0000-0000-000020030000}"/>
    <cellStyle name="_TECO Combined Return Analysis NEW 01-23-01_Mutilples Template2_Project Forest Pro Forma Model v58" xfId="802" xr:uid="{00000000-0005-0000-0000-000021030000}"/>
    <cellStyle name="_TECO Combined Return Analysis NEW 01-23-01_pom consolidated v3" xfId="803" xr:uid="{00000000-0005-0000-0000-000022030000}"/>
    <cellStyle name="_TECO Combined Return Analysis NEW 01-23-01_pom consolidated v3_Exelon Power Fuel Forecast - Project P 6-11-2004 ver21" xfId="804" xr:uid="{00000000-0005-0000-0000-000023030000}"/>
    <cellStyle name="_TECO Combined Return Analysis NEW 01-23-01_pom consolidated v3_ML Outputs" xfId="805" xr:uid="{00000000-0005-0000-0000-000024030000}"/>
    <cellStyle name="_TECO Combined Return Analysis NEW 01-23-01_pom consolidated v3_Project Forest Pro Forma Model v58" xfId="806" xr:uid="{00000000-0005-0000-0000-000025030000}"/>
    <cellStyle name="_Teco Fuel Pro Forma 10-31-2001" xfId="807" xr:uid="{00000000-0005-0000-0000-000026030000}"/>
    <cellStyle name="_Teco Fuel Pro Forma 10-31-2001_Copy of CNL Consolidated model_v.FPL_v37" xfId="808" xr:uid="{00000000-0005-0000-0000-000027030000}"/>
    <cellStyle name="_Teco Fuel Pro Forma 10-31-2001_Copy of CNL Consolidated model_v.FPL_v37_Exelon Power Fuel Forecast - Project P 6-11-2004 ver21" xfId="809" xr:uid="{00000000-0005-0000-0000-000028030000}"/>
    <cellStyle name="_Teco Fuel Pro Forma 10-31-2001_Copy of CNL Consolidated model_v.FPL_v37_ML Outputs" xfId="810" xr:uid="{00000000-0005-0000-0000-000029030000}"/>
    <cellStyle name="_Teco Fuel Pro Forma 10-31-2001_Copy of CNL Consolidated model_v.FPL_v37_Project Forest Pro Forma Model v58" xfId="811" xr:uid="{00000000-0005-0000-0000-00002A030000}"/>
    <cellStyle name="_Teco Fuel Pro Forma 10-31-2001_D_Consolidated2" xfId="812" xr:uid="{00000000-0005-0000-0000-00002B030000}"/>
    <cellStyle name="_Teco Fuel Pro Forma 10-31-2001_Model v9.8" xfId="813" xr:uid="{00000000-0005-0000-0000-00002C030000}"/>
    <cellStyle name="_Teco Fuel Pro Forma 10-31-2001_Mutilples Template2" xfId="814" xr:uid="{00000000-0005-0000-0000-00002D030000}"/>
    <cellStyle name="_Teco Fuel Pro Forma 10-31-2001_Mutilples Template2_Exelon Power Fuel Forecast - Project P 6-11-2004 ver21" xfId="815" xr:uid="{00000000-0005-0000-0000-00002E030000}"/>
    <cellStyle name="_Teco Fuel Pro Forma 10-31-2001_Mutilples Template2_ML Outputs" xfId="816" xr:uid="{00000000-0005-0000-0000-00002F030000}"/>
    <cellStyle name="_Teco Fuel Pro Forma 10-31-2001_Mutilples Template2_Project Forest Pro Forma Model v58" xfId="817" xr:uid="{00000000-0005-0000-0000-000030030000}"/>
    <cellStyle name="_Teco Fuel Pro Forma 10-31-2001_pom consolidated v3" xfId="818" xr:uid="{00000000-0005-0000-0000-000031030000}"/>
    <cellStyle name="_Teco Fuel Pro Forma 10-31-2001_pom consolidated v3_Exelon Power Fuel Forecast - Project P 6-11-2004 ver21" xfId="819" xr:uid="{00000000-0005-0000-0000-000032030000}"/>
    <cellStyle name="_Teco Fuel Pro Forma 10-31-2001_pom consolidated v3_ML Outputs" xfId="820" xr:uid="{00000000-0005-0000-0000-000033030000}"/>
    <cellStyle name="_Teco Fuel Pro Forma 10-31-2001_pom consolidated v3_Project Forest Pro Forma Model v58" xfId="821" xr:uid="{00000000-0005-0000-0000-000034030000}"/>
    <cellStyle name="_TECO Solutions" xfId="822" xr:uid="{00000000-0005-0000-0000-000035030000}"/>
    <cellStyle name="_TECO Solutions_Exelon Power Fuel Forecast - Project P 6-11-2004 ver21" xfId="823" xr:uid="{00000000-0005-0000-0000-000036030000}"/>
    <cellStyle name="_TECO Solutions_ML Outputs" xfId="824" xr:uid="{00000000-0005-0000-0000-000037030000}"/>
    <cellStyle name="_TECO Solutions_Project Forest Pro Forma Model v58" xfId="825" xr:uid="{00000000-0005-0000-0000-000038030000}"/>
    <cellStyle name="_TGN DCF v10" xfId="826" xr:uid="{00000000-0005-0000-0000-000039030000}"/>
    <cellStyle name="_TIE Consolidated 09-18-00 c2 Teco" xfId="827" xr:uid="{00000000-0005-0000-0000-00003A030000}"/>
    <cellStyle name="_TIE Consolidated 09-18-00 c2 Teco_Copy of CNL Consolidated model_v.FPL_v37" xfId="828" xr:uid="{00000000-0005-0000-0000-00003B030000}"/>
    <cellStyle name="_TIE Consolidated 09-18-00 c2 Teco_Copy of CNL Consolidated model_v.FPL_v37_Exelon Power Fuel Forecast - Project P 6-11-2004 ver21" xfId="829" xr:uid="{00000000-0005-0000-0000-00003C030000}"/>
    <cellStyle name="_TIE Consolidated 09-18-00 c2 Teco_Copy of CNL Consolidated model_v.FPL_v37_ML Outputs" xfId="830" xr:uid="{00000000-0005-0000-0000-00003D030000}"/>
    <cellStyle name="_TIE Consolidated 09-18-00 c2 Teco_Copy of CNL Consolidated model_v.FPL_v37_Project Forest Pro Forma Model v58" xfId="831" xr:uid="{00000000-0005-0000-0000-00003E030000}"/>
    <cellStyle name="_TIE Consolidated 09-18-00 c2 Teco_D_Consolidated2" xfId="832" xr:uid="{00000000-0005-0000-0000-00003F030000}"/>
    <cellStyle name="_TIE Consolidated 09-18-00 c2 Teco_Model v9.8" xfId="833" xr:uid="{00000000-0005-0000-0000-000040030000}"/>
    <cellStyle name="_TIE Consolidated 09-18-00 c2 Teco_Mutilples Template2" xfId="834" xr:uid="{00000000-0005-0000-0000-000041030000}"/>
    <cellStyle name="_TIE Consolidated 09-18-00 c2 Teco_Mutilples Template2_Exelon Power Fuel Forecast - Project P 6-11-2004 ver21" xfId="835" xr:uid="{00000000-0005-0000-0000-000042030000}"/>
    <cellStyle name="_TIE Consolidated 09-18-00 c2 Teco_Mutilples Template2_ML Outputs" xfId="836" xr:uid="{00000000-0005-0000-0000-000043030000}"/>
    <cellStyle name="_TIE Consolidated 09-18-00 c2 Teco_Mutilples Template2_Project Forest Pro Forma Model v58" xfId="837" xr:uid="{00000000-0005-0000-0000-000044030000}"/>
    <cellStyle name="_TIE Consolidated 09-18-00 c2 Teco_pom consolidated v3" xfId="838" xr:uid="{00000000-0005-0000-0000-000045030000}"/>
    <cellStyle name="_TIE Consolidated 09-18-00 c2 Teco_pom consolidated v3_Exelon Power Fuel Forecast - Project P 6-11-2004 ver21" xfId="839" xr:uid="{00000000-0005-0000-0000-000046030000}"/>
    <cellStyle name="_TIE Consolidated 09-18-00 c2 Teco_pom consolidated v3_ML Outputs" xfId="840" xr:uid="{00000000-0005-0000-0000-000047030000}"/>
    <cellStyle name="_TIE Consolidated 09-18-00 c2 Teco_pom consolidated v3_Project Forest Pro Forma Model v58" xfId="841" xr:uid="{00000000-0005-0000-0000-000048030000}"/>
    <cellStyle name="_Transport Model_v6" xfId="842" xr:uid="{00000000-0005-0000-0000-000049030000}"/>
    <cellStyle name="_Transport Model_v6_Exelon Power Fuel Forecast - Project P 6-11-2004 ver21" xfId="843" xr:uid="{00000000-0005-0000-0000-00004A030000}"/>
    <cellStyle name="_Transport Model_v6_ML Outputs" xfId="844" xr:uid="{00000000-0005-0000-0000-00004B030000}"/>
    <cellStyle name="_Transport Model_v6_Project Forest Pro Forma Model v58" xfId="845" xr:uid="{00000000-0005-0000-0000-00004C030000}"/>
    <cellStyle name="_WACC Papaya_v02" xfId="846" xr:uid="{00000000-0005-0000-0000-00004D030000}"/>
    <cellStyle name="_West Michigan 0800 v1 test" xfId="847" xr:uid="{00000000-0005-0000-0000-00004E030000}"/>
    <cellStyle name="_West Michigan 0800 v1 test_Copy of CNL Consolidated model_v.FPL_v37" xfId="848" xr:uid="{00000000-0005-0000-0000-00004F030000}"/>
    <cellStyle name="_West Michigan 0800 v1 test_Copy of CNL Consolidated model_v.FPL_v37_Exelon Power Fuel Forecast - Project P 6-11-2004 ver21" xfId="849" xr:uid="{00000000-0005-0000-0000-000050030000}"/>
    <cellStyle name="_West Michigan 0800 v1 test_Copy of CNL Consolidated model_v.FPL_v37_ML Outputs" xfId="850" xr:uid="{00000000-0005-0000-0000-000051030000}"/>
    <cellStyle name="_West Michigan 0800 v1 test_Copy of CNL Consolidated model_v.FPL_v37_Project Forest Pro Forma Model v58" xfId="851" xr:uid="{00000000-0005-0000-0000-000052030000}"/>
    <cellStyle name="_West Michigan 0800 v1 test_D_Consolidated2" xfId="852" xr:uid="{00000000-0005-0000-0000-000053030000}"/>
    <cellStyle name="_West Michigan 0800 v1 test_Model v9.8" xfId="853" xr:uid="{00000000-0005-0000-0000-000054030000}"/>
    <cellStyle name="_West Michigan 0800 v1 test_Mutilples Template2" xfId="854" xr:uid="{00000000-0005-0000-0000-000055030000}"/>
    <cellStyle name="_West Michigan 0800 v1 test_Mutilples Template2_Exelon Power Fuel Forecast - Project P 6-11-2004 ver21" xfId="855" xr:uid="{00000000-0005-0000-0000-000056030000}"/>
    <cellStyle name="_West Michigan 0800 v1 test_Mutilples Template2_ML Outputs" xfId="856" xr:uid="{00000000-0005-0000-0000-000057030000}"/>
    <cellStyle name="_West Michigan 0800 v1 test_Mutilples Template2_Project Forest Pro Forma Model v58" xfId="857" xr:uid="{00000000-0005-0000-0000-000058030000}"/>
    <cellStyle name="_West Michigan 0800 v1 test_pom consolidated v3" xfId="858" xr:uid="{00000000-0005-0000-0000-000059030000}"/>
    <cellStyle name="_West Michigan 0800 v1 test_pom consolidated v3_Exelon Power Fuel Forecast - Project P 6-11-2004 ver21" xfId="859" xr:uid="{00000000-0005-0000-0000-00005A030000}"/>
    <cellStyle name="_West Michigan 0800 v1 test_pom consolidated v3_ML Outputs" xfId="860" xr:uid="{00000000-0005-0000-0000-00005B030000}"/>
    <cellStyle name="_West Michigan 0800 v1 test_pom consolidated v3_Project Forest Pro Forma Model v58" xfId="861" xr:uid="{00000000-0005-0000-0000-00005C030000}"/>
    <cellStyle name="=C:\WINNT35\SYSTEM32\COMMAND.COM" xfId="862" xr:uid="{00000000-0005-0000-0000-00005D030000}"/>
    <cellStyle name="0" xfId="863" xr:uid="{00000000-0005-0000-0000-00005E030000}"/>
    <cellStyle name="0000" xfId="864" xr:uid="{00000000-0005-0000-0000-00005F030000}"/>
    <cellStyle name="000000" xfId="865" xr:uid="{00000000-0005-0000-0000-000060030000}"/>
    <cellStyle name="1o.nível" xfId="866" xr:uid="{00000000-0005-0000-0000-000061030000}"/>
    <cellStyle name="2o.nível" xfId="867" xr:uid="{00000000-0005-0000-0000-000062030000}"/>
    <cellStyle name="a_normal" xfId="868" xr:uid="{00000000-0005-0000-0000-000063030000}"/>
    <cellStyle name="a_quebra_2" xfId="869" xr:uid="{00000000-0005-0000-0000-000064030000}"/>
    <cellStyle name="A3 297 x 420 mm" xfId="870" xr:uid="{00000000-0005-0000-0000-000065030000}"/>
    <cellStyle name="Acctg" xfId="871" xr:uid="{00000000-0005-0000-0000-000066030000}"/>
    <cellStyle name="Acctg$" xfId="872" xr:uid="{00000000-0005-0000-0000-000067030000}"/>
    <cellStyle name="Acctg_Ampla - FO.V1.5Betaxls" xfId="873" xr:uid="{00000000-0005-0000-0000-000068030000}"/>
    <cellStyle name="Actual Date" xfId="874" xr:uid="{00000000-0005-0000-0000-000069030000}"/>
    <cellStyle name="AFE" xfId="875" xr:uid="{00000000-0005-0000-0000-00006A030000}"/>
    <cellStyle name="Andre's Title" xfId="876" xr:uid="{00000000-0005-0000-0000-00006B030000}"/>
    <cellStyle name="args.style" xfId="877" xr:uid="{00000000-0005-0000-0000-00006C030000}"/>
    <cellStyle name="Assumption" xfId="878" xr:uid="{00000000-0005-0000-0000-00006D030000}"/>
    <cellStyle name="axlcolour" xfId="879" xr:uid="{00000000-0005-0000-0000-00006E030000}"/>
    <cellStyle name="BalanceSheet" xfId="880" xr:uid="{00000000-0005-0000-0000-00006F030000}"/>
    <cellStyle name="black" xfId="881" xr:uid="{00000000-0005-0000-0000-000070030000}"/>
    <cellStyle name="BlackStrike" xfId="882" xr:uid="{00000000-0005-0000-0000-000071030000}"/>
    <cellStyle name="BlackText" xfId="883" xr:uid="{00000000-0005-0000-0000-000072030000}"/>
    <cellStyle name="blakc" xfId="884" xr:uid="{00000000-0005-0000-0000-000073030000}"/>
    <cellStyle name="blank" xfId="885" xr:uid="{00000000-0005-0000-0000-000074030000}"/>
    <cellStyle name="blue" xfId="886" xr:uid="{00000000-0005-0000-0000-000075030000}"/>
    <cellStyle name="blue font" xfId="887" xr:uid="{00000000-0005-0000-0000-000076030000}"/>
    <cellStyle name="blue_Papaya_Elektro_v03" xfId="888" xr:uid="{00000000-0005-0000-0000-000077030000}"/>
    <cellStyle name="Body_InputCellText" xfId="889" xr:uid="{00000000-0005-0000-0000-000078030000}"/>
    <cellStyle name="Bold/Border" xfId="890" xr:uid="{00000000-0005-0000-0000-000079030000}"/>
    <cellStyle name="Bol-Data" xfId="891" xr:uid="{00000000-0005-0000-0000-00007A030000}"/>
    <cellStyle name="BoldText" xfId="892" xr:uid="{00000000-0005-0000-0000-00007B030000}"/>
    <cellStyle name="bolet" xfId="893" xr:uid="{00000000-0005-0000-0000-00007C030000}"/>
    <cellStyle name="Boletim" xfId="894" xr:uid="{00000000-0005-0000-0000-00007D030000}"/>
    <cellStyle name="Border" xfId="895" xr:uid="{00000000-0005-0000-0000-00007E030000}"/>
    <cellStyle name="Border Heavy" xfId="896" xr:uid="{00000000-0005-0000-0000-00007F030000}"/>
    <cellStyle name="Border Thin" xfId="897" xr:uid="{00000000-0005-0000-0000-000080030000}"/>
    <cellStyle name="Border_Papaya_Elektro_v03" xfId="898" xr:uid="{00000000-0005-0000-0000-000081030000}"/>
    <cellStyle name="Bottom Edge" xfId="899" xr:uid="{00000000-0005-0000-0000-000082030000}"/>
    <cellStyle name="bp--" xfId="900" xr:uid="{00000000-0005-0000-0000-000083030000}"/>
    <cellStyle name="bud" xfId="901" xr:uid="{00000000-0005-0000-0000-000084030000}"/>
    <cellStyle name="Bullet" xfId="902" xr:uid="{00000000-0005-0000-0000-000085030000}"/>
    <cellStyle name="Business Description" xfId="903" xr:uid="{00000000-0005-0000-0000-000086030000}"/>
    <cellStyle name="Calc Currency (0)" xfId="904" xr:uid="{00000000-0005-0000-0000-000087030000}"/>
    <cellStyle name="Calc Currency (2)" xfId="905" xr:uid="{00000000-0005-0000-0000-000088030000}"/>
    <cellStyle name="Calc Percent (0)" xfId="906" xr:uid="{00000000-0005-0000-0000-000089030000}"/>
    <cellStyle name="Calc Percent (1)" xfId="907" xr:uid="{00000000-0005-0000-0000-00008A030000}"/>
    <cellStyle name="Calc Percent (2)" xfId="908" xr:uid="{00000000-0005-0000-0000-00008B030000}"/>
    <cellStyle name="Calc Units (0)" xfId="909" xr:uid="{00000000-0005-0000-0000-00008C030000}"/>
    <cellStyle name="Calc Units (1)" xfId="910" xr:uid="{00000000-0005-0000-0000-00008D030000}"/>
    <cellStyle name="Calc Units (2)" xfId="911" xr:uid="{00000000-0005-0000-0000-00008E030000}"/>
    <cellStyle name="Cancel" xfId="912" xr:uid="{00000000-0005-0000-0000-00008F030000}"/>
    <cellStyle name="CashFlow" xfId="913" xr:uid="{00000000-0005-0000-0000-000090030000}"/>
    <cellStyle name="Cents" xfId="914" xr:uid="{00000000-0005-0000-0000-000091030000}"/>
    <cellStyle name="clear" xfId="915" xr:uid="{00000000-0005-0000-0000-000092030000}"/>
    <cellStyle name="clear color" xfId="916" xr:uid="{00000000-0005-0000-0000-000093030000}"/>
    <cellStyle name="Co. Names" xfId="917" xr:uid="{00000000-0005-0000-0000-000094030000}"/>
    <cellStyle name="Co. Names - Bold" xfId="918" xr:uid="{00000000-0005-0000-0000-000095030000}"/>
    <cellStyle name="Co. Names_Break-Up" xfId="919" xr:uid="{00000000-0005-0000-0000-000096030000}"/>
    <cellStyle name="COL HEADINGS" xfId="920" xr:uid="{00000000-0005-0000-0000-000097030000}"/>
    <cellStyle name="Column Headings" xfId="921" xr:uid="{00000000-0005-0000-0000-000098030000}"/>
    <cellStyle name="Column_Title" xfId="922" xr:uid="{00000000-0005-0000-0000-000099030000}"/>
    <cellStyle name="Comma [00]" xfId="923" xr:uid="{00000000-0005-0000-0000-00009A030000}"/>
    <cellStyle name="Comma [1]" xfId="924" xr:uid="{00000000-0005-0000-0000-00009B030000}"/>
    <cellStyle name="Comma [2]" xfId="925" xr:uid="{00000000-0005-0000-0000-00009C030000}"/>
    <cellStyle name="Comma [3]" xfId="926" xr:uid="{00000000-0005-0000-0000-00009D030000}"/>
    <cellStyle name="Comma 0" xfId="927" xr:uid="{00000000-0005-0000-0000-00009E030000}"/>
    <cellStyle name="Comma 0*" xfId="928" xr:uid="{00000000-0005-0000-0000-00009F030000}"/>
    <cellStyle name="Comma 0_~0059636" xfId="929" xr:uid="{00000000-0005-0000-0000-0000A0030000}"/>
    <cellStyle name="Comma 2" xfId="930" xr:uid="{00000000-0005-0000-0000-0000A1030000}"/>
    <cellStyle name="Comma Cents" xfId="931" xr:uid="{00000000-0005-0000-0000-0000A2030000}"/>
    <cellStyle name="Comma0" xfId="932" xr:uid="{00000000-0005-0000-0000-0000A3030000}"/>
    <cellStyle name="Comma0 - Estilo2" xfId="933" xr:uid="{00000000-0005-0000-0000-0000A4030000}"/>
    <cellStyle name="Comma0 - Modelo1" xfId="934" xr:uid="{00000000-0005-0000-0000-0000A5030000}"/>
    <cellStyle name="Comma0 - Style1" xfId="935" xr:uid="{00000000-0005-0000-0000-0000A6030000}"/>
    <cellStyle name="Comma0 - Style2" xfId="936" xr:uid="{00000000-0005-0000-0000-0000A7030000}"/>
    <cellStyle name="Comma0_Papaya_Elektro_v03" xfId="937" xr:uid="{00000000-0005-0000-0000-0000A8030000}"/>
    <cellStyle name="Comma1" xfId="938" xr:uid="{00000000-0005-0000-0000-0000A9030000}"/>
    <cellStyle name="Comma1 - Modelo2" xfId="939" xr:uid="{00000000-0005-0000-0000-0000AA030000}"/>
    <cellStyle name="Comma1 - Style1" xfId="940" xr:uid="{00000000-0005-0000-0000-0000AB030000}"/>
    <cellStyle name="Comma1 - Style2" xfId="941" xr:uid="{00000000-0005-0000-0000-0000AC030000}"/>
    <cellStyle name="Copied" xfId="942" xr:uid="{00000000-0005-0000-0000-0000AD030000}"/>
    <cellStyle name="COST1" xfId="943" xr:uid="{00000000-0005-0000-0000-0000AE030000}"/>
    <cellStyle name="Currency--" xfId="944" xr:uid="{00000000-0005-0000-0000-0000AF030000}"/>
    <cellStyle name="Currency [00]" xfId="945" xr:uid="{00000000-0005-0000-0000-0000B0030000}"/>
    <cellStyle name="Currency [1]" xfId="946" xr:uid="{00000000-0005-0000-0000-0000B1030000}"/>
    <cellStyle name="Currency [2]" xfId="947" xr:uid="{00000000-0005-0000-0000-0000B2030000}"/>
    <cellStyle name="Currency [3]" xfId="948" xr:uid="{00000000-0005-0000-0000-0000B3030000}"/>
    <cellStyle name="Currency 0" xfId="949" xr:uid="{00000000-0005-0000-0000-0000B4030000}"/>
    <cellStyle name="Currency 2" xfId="950" xr:uid="{00000000-0005-0000-0000-0000B5030000}"/>
    <cellStyle name="Currency 3*" xfId="951" xr:uid="{00000000-0005-0000-0000-0000B6030000}"/>
    <cellStyle name="Currency$" xfId="952" xr:uid="{00000000-0005-0000-0000-0000B7030000}"/>
    <cellStyle name="Currency--_football field" xfId="953" xr:uid="{00000000-0005-0000-0000-0000B8030000}"/>
    <cellStyle name="Currency0" xfId="954" xr:uid="{00000000-0005-0000-0000-0000B9030000}"/>
    <cellStyle name="Currency0 2" xfId="955" xr:uid="{00000000-0005-0000-0000-0000BA030000}"/>
    <cellStyle name="Currency0 2 2" xfId="956" xr:uid="{00000000-0005-0000-0000-0000BB030000}"/>
    <cellStyle name="Currency0 3" xfId="957" xr:uid="{00000000-0005-0000-0000-0000BC030000}"/>
    <cellStyle name="Currency0 3 2" xfId="958" xr:uid="{00000000-0005-0000-0000-0000BD030000}"/>
    <cellStyle name="Currency0 4" xfId="959" xr:uid="{00000000-0005-0000-0000-0000BE030000}"/>
    <cellStyle name="Currency1" xfId="960" xr:uid="{00000000-0005-0000-0000-0000BF030000}"/>
    <cellStyle name="Currency2" xfId="961" xr:uid="{00000000-0005-0000-0000-0000C0030000}"/>
    <cellStyle name="Currsmall" xfId="962" xr:uid="{00000000-0005-0000-0000-0000C1030000}"/>
    <cellStyle name="d_yield" xfId="963" xr:uid="{00000000-0005-0000-0000-0000C2030000}"/>
    <cellStyle name="d_yield_AVP" xfId="964" xr:uid="{00000000-0005-0000-0000-0000C3030000}"/>
    <cellStyle name="d_yield_AVP_Graphic Depiction - NO DEV" xfId="965" xr:uid="{00000000-0005-0000-0000-0000C4030000}"/>
    <cellStyle name="d_yield_AVP_THEsumPage (2)" xfId="966" xr:uid="{00000000-0005-0000-0000-0000C5030000}"/>
    <cellStyle name="d_yield_CompSheet" xfId="967" xr:uid="{00000000-0005-0000-0000-0000C6030000}"/>
    <cellStyle name="d_yield_Disc Analysis" xfId="968" xr:uid="{00000000-0005-0000-0000-0000C7030000}"/>
    <cellStyle name="d_yield_Disc Analysis_CompSheet" xfId="969" xr:uid="{00000000-0005-0000-0000-0000C8030000}"/>
    <cellStyle name="d_yield_Disc Analysis_THEsumPage (2)" xfId="970" xr:uid="{00000000-0005-0000-0000-0000C9030000}"/>
    <cellStyle name="d_yield_Fairness Opinion Valuation 4-23a.xls Chart 1" xfId="971" xr:uid="{00000000-0005-0000-0000-0000CA030000}"/>
    <cellStyle name="d_yield_LP Chart" xfId="972" xr:uid="{00000000-0005-0000-0000-0000CB030000}"/>
    <cellStyle name="d_yield_LP Chart_THEsumPage (2)" xfId="973" xr:uid="{00000000-0005-0000-0000-0000CC030000}"/>
    <cellStyle name="d_yield_Merg Cons" xfId="974" xr:uid="{00000000-0005-0000-0000-0000CD030000}"/>
    <cellStyle name="d_yield_Merg Cons_CompSheet" xfId="975" xr:uid="{00000000-0005-0000-0000-0000CE030000}"/>
    <cellStyle name="d_yield_Merg Cons_THEsumPage (2)" xfId="976" xr:uid="{00000000-0005-0000-0000-0000CF030000}"/>
    <cellStyle name="d_yield_PowerValuation.xls Chart 21" xfId="977" xr:uid="{00000000-0005-0000-0000-0000D0030000}"/>
    <cellStyle name="d_yield_PowerValuation.xls Chart 28" xfId="978" xr:uid="{00000000-0005-0000-0000-0000D1030000}"/>
    <cellStyle name="d_yield_Proj10" xfId="979" xr:uid="{00000000-0005-0000-0000-0000D2030000}"/>
    <cellStyle name="d_yield_Proj10_AVP" xfId="980" xr:uid="{00000000-0005-0000-0000-0000D3030000}"/>
    <cellStyle name="d_yield_Proj10_AVP_Graphic Depiction - NO DEV" xfId="981" xr:uid="{00000000-0005-0000-0000-0000D4030000}"/>
    <cellStyle name="d_yield_Proj10_AVP_THEsumPage (2)" xfId="982" xr:uid="{00000000-0005-0000-0000-0000D5030000}"/>
    <cellStyle name="d_yield_Proj10_CompSheet" xfId="983" xr:uid="{00000000-0005-0000-0000-0000D6030000}"/>
    <cellStyle name="d_yield_Proj10_Disc Analysis" xfId="984" xr:uid="{00000000-0005-0000-0000-0000D7030000}"/>
    <cellStyle name="d_yield_Proj10_Disc Analysis_CompSheet" xfId="985" xr:uid="{00000000-0005-0000-0000-0000D8030000}"/>
    <cellStyle name="d_yield_Proj10_Disc Analysis_THEsumPage (2)" xfId="986" xr:uid="{00000000-0005-0000-0000-0000D9030000}"/>
    <cellStyle name="d_yield_Proj10_Fairness Opinion Valuation 4-23a.xls Chart 1" xfId="987" xr:uid="{00000000-0005-0000-0000-0000DA030000}"/>
    <cellStyle name="d_yield_Proj10_LP Chart" xfId="988" xr:uid="{00000000-0005-0000-0000-0000DB030000}"/>
    <cellStyle name="d_yield_Proj10_LP Chart_THEsumPage (2)" xfId="989" xr:uid="{00000000-0005-0000-0000-0000DC030000}"/>
    <cellStyle name="d_yield_Proj10_Merg Cons" xfId="990" xr:uid="{00000000-0005-0000-0000-0000DD030000}"/>
    <cellStyle name="d_yield_Proj10_Merg Cons_CompSheet" xfId="991" xr:uid="{00000000-0005-0000-0000-0000DE030000}"/>
    <cellStyle name="d_yield_Proj10_Merg Cons_THEsumPage (2)" xfId="992" xr:uid="{00000000-0005-0000-0000-0000DF030000}"/>
    <cellStyle name="d_yield_Proj10_PowerValuation.xls Chart 21" xfId="993" xr:uid="{00000000-0005-0000-0000-0000E0030000}"/>
    <cellStyle name="d_yield_Proj10_PowerValuation.xls Chart 28" xfId="994" xr:uid="{00000000-0005-0000-0000-0000E1030000}"/>
    <cellStyle name="d_yield_Proj10_Sensitivity" xfId="995" xr:uid="{00000000-0005-0000-0000-0000E2030000}"/>
    <cellStyle name="d_yield_Proj10_Sensitivity_CompSheet" xfId="996" xr:uid="{00000000-0005-0000-0000-0000E3030000}"/>
    <cellStyle name="d_yield_Proj10_Sensitivity_THEsumPage (2)" xfId="997" xr:uid="{00000000-0005-0000-0000-0000E4030000}"/>
    <cellStyle name="d_yield_Proj10_show-hold" xfId="998" xr:uid="{00000000-0005-0000-0000-0000E5030000}"/>
    <cellStyle name="d_yield_Proj10_show-hold_Graphic Depiction - NO DEV" xfId="999" xr:uid="{00000000-0005-0000-0000-0000E6030000}"/>
    <cellStyle name="d_yield_Proj10_show-hold_THEsumPage (2)" xfId="1000" xr:uid="{00000000-0005-0000-0000-0000E7030000}"/>
    <cellStyle name="d_yield_Proj10_THEsumPage (2)" xfId="1001" xr:uid="{00000000-0005-0000-0000-0000E8030000}"/>
    <cellStyle name="d_yield_Proj10_Valuation summaries" xfId="1002" xr:uid="{00000000-0005-0000-0000-0000E9030000}"/>
    <cellStyle name="d_yield_Proj10_WACC-CableCar" xfId="1003" xr:uid="{00000000-0005-0000-0000-0000EA030000}"/>
    <cellStyle name="d_yield_Proj10_WACC-CableCar_THEsumPage (2)" xfId="1004" xr:uid="{00000000-0005-0000-0000-0000EB030000}"/>
    <cellStyle name="d_yield_Proj10_WACC-RAD (2)" xfId="1005" xr:uid="{00000000-0005-0000-0000-0000EC030000}"/>
    <cellStyle name="d_yield_Proj10_WACC-RAD (2)_THEsumPage (2)" xfId="1006" xr:uid="{00000000-0005-0000-0000-0000ED030000}"/>
    <cellStyle name="d_yield_Sensitivity" xfId="1007" xr:uid="{00000000-0005-0000-0000-0000EE030000}"/>
    <cellStyle name="d_yield_Sensitivity_CompSheet" xfId="1008" xr:uid="{00000000-0005-0000-0000-0000EF030000}"/>
    <cellStyle name="d_yield_Sensitivity_THEsumPage (2)" xfId="1009" xr:uid="{00000000-0005-0000-0000-0000F0030000}"/>
    <cellStyle name="d_yield_show-hold" xfId="1010" xr:uid="{00000000-0005-0000-0000-0000F1030000}"/>
    <cellStyle name="d_yield_show-hold_CompSheet" xfId="1011" xr:uid="{00000000-0005-0000-0000-0000F2030000}"/>
    <cellStyle name="d_yield_show-hold_THEsumPage (2)" xfId="1012" xr:uid="{00000000-0005-0000-0000-0000F3030000}"/>
    <cellStyle name="d_yield_THEsumPage (2)" xfId="1013" xr:uid="{00000000-0005-0000-0000-0000F4030000}"/>
    <cellStyle name="d_yield_Valuation summaries" xfId="1014" xr:uid="{00000000-0005-0000-0000-0000F5030000}"/>
    <cellStyle name="d_yield_WACC-CableCar" xfId="1015" xr:uid="{00000000-0005-0000-0000-0000F6030000}"/>
    <cellStyle name="d_yield_WACC-CableCar_THEsumPage (2)" xfId="1016" xr:uid="{00000000-0005-0000-0000-0000F7030000}"/>
    <cellStyle name="d_yield_WACC-RAD (2)" xfId="1017" xr:uid="{00000000-0005-0000-0000-0000F8030000}"/>
    <cellStyle name="d_yield_WACC-RAD (2)_THEsumPage (2)" xfId="1018" xr:uid="{00000000-0005-0000-0000-0000F9030000}"/>
    <cellStyle name="Dash" xfId="1019" xr:uid="{00000000-0005-0000-0000-0000FA030000}"/>
    <cellStyle name="data" xfId="1020" xr:uid="{00000000-0005-0000-0000-0000FB030000}"/>
    <cellStyle name="Data Link" xfId="1021" xr:uid="{00000000-0005-0000-0000-0000FC030000}"/>
    <cellStyle name="data_Break-Up" xfId="1022" xr:uid="{00000000-0005-0000-0000-0000FD030000}"/>
    <cellStyle name="Date" xfId="1023" xr:uid="{00000000-0005-0000-0000-0000FE030000}"/>
    <cellStyle name="Date &amp; Time" xfId="1024" xr:uid="{00000000-0005-0000-0000-0000FF030000}"/>
    <cellStyle name="Date [d-mmm-yy]" xfId="1025" xr:uid="{00000000-0005-0000-0000-000000040000}"/>
    <cellStyle name="Date [mm-d-yy]" xfId="1026" xr:uid="{00000000-0005-0000-0000-000001040000}"/>
    <cellStyle name="Date [mm-d-yyyy]" xfId="1027" xr:uid="{00000000-0005-0000-0000-000002040000}"/>
    <cellStyle name="Date [mmm-d-yyyy]" xfId="1028" xr:uid="{00000000-0005-0000-0000-000003040000}"/>
    <cellStyle name="Date [mmm-yy]" xfId="1029" xr:uid="{00000000-0005-0000-0000-000004040000}"/>
    <cellStyle name="Date [mmm-yyyy]" xfId="1030" xr:uid="{00000000-0005-0000-0000-000005040000}"/>
    <cellStyle name="Date Aligned" xfId="1031" xr:uid="{00000000-0005-0000-0000-000006040000}"/>
    <cellStyle name="Date Short" xfId="1032" xr:uid="{00000000-0005-0000-0000-000007040000}"/>
    <cellStyle name="Date_~1445599" xfId="1033" xr:uid="{00000000-0005-0000-0000-000008040000}"/>
    <cellStyle name="Date2" xfId="1034" xr:uid="{00000000-0005-0000-0000-000009040000}"/>
    <cellStyle name="Date2h" xfId="1035" xr:uid="{00000000-0005-0000-0000-00000A040000}"/>
    <cellStyle name="DATES" xfId="1036" xr:uid="{00000000-0005-0000-0000-00000B040000}"/>
    <cellStyle name="DateYear" xfId="1037" xr:uid="{00000000-0005-0000-0000-00000C040000}"/>
    <cellStyle name="decimal" xfId="1038" xr:uid="{00000000-0005-0000-0000-00000D040000}"/>
    <cellStyle name="Dezimal [0]_Compiling Utility Macros" xfId="1039" xr:uid="{00000000-0005-0000-0000-00000E040000}"/>
    <cellStyle name="Dezimal_Compiling Utility Macros" xfId="1040" xr:uid="{00000000-0005-0000-0000-00000F040000}"/>
    <cellStyle name="Dollar" xfId="1041" xr:uid="{00000000-0005-0000-0000-000010040000}"/>
    <cellStyle name="Dollar1" xfId="1042" xr:uid="{00000000-0005-0000-0000-000011040000}"/>
    <cellStyle name="dollars" xfId="1043" xr:uid="{00000000-0005-0000-0000-000012040000}"/>
    <cellStyle name="DollarWhole" xfId="1044" xr:uid="{00000000-0005-0000-0000-000013040000}"/>
    <cellStyle name="Dotted Line" xfId="1045" xr:uid="{00000000-0005-0000-0000-000014040000}"/>
    <cellStyle name="down" xfId="1046" xr:uid="{00000000-0005-0000-0000-000015040000}"/>
    <cellStyle name="Engine" xfId="1047" xr:uid="{00000000-0005-0000-0000-000016040000}"/>
    <cellStyle name="Enter Currency (0)" xfId="1048" xr:uid="{00000000-0005-0000-0000-000017040000}"/>
    <cellStyle name="Enter Currency (2)" xfId="1049" xr:uid="{00000000-0005-0000-0000-000018040000}"/>
    <cellStyle name="Enter Units (0)" xfId="1050" xr:uid="{00000000-0005-0000-0000-000019040000}"/>
    <cellStyle name="Enter Units (1)" xfId="1051" xr:uid="{00000000-0005-0000-0000-00001A040000}"/>
    <cellStyle name="Enter Units (2)" xfId="1052" xr:uid="{00000000-0005-0000-0000-00001B040000}"/>
    <cellStyle name="Entered" xfId="1053" xr:uid="{00000000-0005-0000-0000-00001C040000}"/>
    <cellStyle name="En-tête 1" xfId="1054" xr:uid="{00000000-0005-0000-0000-00001D040000}"/>
    <cellStyle name="En-tête 2" xfId="1055" xr:uid="{00000000-0005-0000-0000-00001E040000}"/>
    <cellStyle name="eps" xfId="1056" xr:uid="{00000000-0005-0000-0000-00001F040000}"/>
    <cellStyle name="eps$" xfId="1057" xr:uid="{00000000-0005-0000-0000-000020040000}"/>
    <cellStyle name="eps$A" xfId="1058" xr:uid="{00000000-0005-0000-0000-000021040000}"/>
    <cellStyle name="eps$E" xfId="1059" xr:uid="{00000000-0005-0000-0000-000022040000}"/>
    <cellStyle name="eps_AVP" xfId="1060" xr:uid="{00000000-0005-0000-0000-000023040000}"/>
    <cellStyle name="epsA" xfId="1061" xr:uid="{00000000-0005-0000-0000-000024040000}"/>
    <cellStyle name="epsE" xfId="1062" xr:uid="{00000000-0005-0000-0000-000025040000}"/>
    <cellStyle name="Estilo 1" xfId="1063" xr:uid="{00000000-0005-0000-0000-000026040000}"/>
    <cellStyle name="Estilo 2" xfId="1064" xr:uid="{00000000-0005-0000-0000-000027040000}"/>
    <cellStyle name="Euro" xfId="1065" xr:uid="{00000000-0005-0000-0000-000028040000}"/>
    <cellStyle name="Ex_MISTO" xfId="1066" xr:uid="{00000000-0005-0000-0000-000029040000}"/>
    <cellStyle name="F2" xfId="1067" xr:uid="{00000000-0005-0000-0000-00002A040000}"/>
    <cellStyle name="F3" xfId="1068" xr:uid="{00000000-0005-0000-0000-00002B040000}"/>
    <cellStyle name="F5" xfId="1069" xr:uid="{00000000-0005-0000-0000-00002C040000}"/>
    <cellStyle name="F6" xfId="1070" xr:uid="{00000000-0005-0000-0000-00002D040000}"/>
    <cellStyle name="F7" xfId="1071" xr:uid="{00000000-0005-0000-0000-00002E040000}"/>
    <cellStyle name="FIELD" xfId="1072" xr:uid="{00000000-0005-0000-0000-00002F040000}"/>
    <cellStyle name="Financial" xfId="1073" xr:uid="{00000000-0005-0000-0000-000030040000}"/>
    <cellStyle name="Financier0" xfId="1074" xr:uid="{00000000-0005-0000-0000-000031040000}"/>
    <cellStyle name="Fixed" xfId="1075" xr:uid="{00000000-0005-0000-0000-000032040000}"/>
    <cellStyle name="Fixed [0]" xfId="1076" xr:uid="{00000000-0005-0000-0000-000033040000}"/>
    <cellStyle name="Fixed_ELECTORANDES- OCT 15" xfId="1077" xr:uid="{00000000-0005-0000-0000-000034040000}"/>
    <cellStyle name="Fixlong" xfId="1078" xr:uid="{00000000-0005-0000-0000-000035040000}"/>
    <cellStyle name="Footnote" xfId="1079" xr:uid="{00000000-0005-0000-0000-000036040000}"/>
    <cellStyle name="Footnotes" xfId="1080" xr:uid="{00000000-0005-0000-0000-000037040000}"/>
    <cellStyle name="Formula" xfId="1081" xr:uid="{00000000-0005-0000-0000-000038040000}"/>
    <cellStyle name="fraction" xfId="1082" xr:uid="{00000000-0005-0000-0000-000039040000}"/>
    <cellStyle name="fy_eps$" xfId="1083" xr:uid="{00000000-0005-0000-0000-00003A040000}"/>
    <cellStyle name="g_rate" xfId="1084" xr:uid="{00000000-0005-0000-0000-00003B040000}"/>
    <cellStyle name="g_rate_AVP" xfId="1085" xr:uid="{00000000-0005-0000-0000-00003C040000}"/>
    <cellStyle name="g_rate_AVP_Graphic Depiction - NO DEV" xfId="1086" xr:uid="{00000000-0005-0000-0000-00003D040000}"/>
    <cellStyle name="g_rate_AVP_THEsumPage (2)" xfId="1087" xr:uid="{00000000-0005-0000-0000-00003E040000}"/>
    <cellStyle name="g_rate_CompSheet" xfId="1088" xr:uid="{00000000-0005-0000-0000-00003F040000}"/>
    <cellStyle name="g_rate_Disc Analysis" xfId="1089" xr:uid="{00000000-0005-0000-0000-000040040000}"/>
    <cellStyle name="g_rate_Disc Analysis_CompSheet" xfId="1090" xr:uid="{00000000-0005-0000-0000-000041040000}"/>
    <cellStyle name="g_rate_Disc Analysis_THEsumPage (2)" xfId="1091" xr:uid="{00000000-0005-0000-0000-000042040000}"/>
    <cellStyle name="g_rate_Fairness Opinion Valuation 4-23a.xls Chart 1" xfId="1092" xr:uid="{00000000-0005-0000-0000-000043040000}"/>
    <cellStyle name="g_rate_LP Chart" xfId="1093" xr:uid="{00000000-0005-0000-0000-000044040000}"/>
    <cellStyle name="g_rate_LP Chart_THEsumPage (2)" xfId="1094" xr:uid="{00000000-0005-0000-0000-000045040000}"/>
    <cellStyle name="g_rate_Merg Cons" xfId="1095" xr:uid="{00000000-0005-0000-0000-000046040000}"/>
    <cellStyle name="g_rate_Merg Cons_CompSheet" xfId="1096" xr:uid="{00000000-0005-0000-0000-000047040000}"/>
    <cellStyle name="g_rate_Merg Cons_THEsumPage (2)" xfId="1097" xr:uid="{00000000-0005-0000-0000-000048040000}"/>
    <cellStyle name="g_rate_PowerValuation.xls Chart 21" xfId="1098" xr:uid="{00000000-0005-0000-0000-000049040000}"/>
    <cellStyle name="g_rate_PowerValuation.xls Chart 28" xfId="1099" xr:uid="{00000000-0005-0000-0000-00004A040000}"/>
    <cellStyle name="g_rate_Proj10" xfId="1100" xr:uid="{00000000-0005-0000-0000-00004B040000}"/>
    <cellStyle name="g_rate_Proj10_AVP" xfId="1101" xr:uid="{00000000-0005-0000-0000-00004C040000}"/>
    <cellStyle name="g_rate_Proj10_AVP_Graphic Depiction - NO DEV" xfId="1102" xr:uid="{00000000-0005-0000-0000-00004D040000}"/>
    <cellStyle name="g_rate_Proj10_AVP_THEsumPage (2)" xfId="1103" xr:uid="{00000000-0005-0000-0000-00004E040000}"/>
    <cellStyle name="g_rate_Proj10_CompSheet" xfId="1104" xr:uid="{00000000-0005-0000-0000-00004F040000}"/>
    <cellStyle name="g_rate_Proj10_Disc Analysis" xfId="1105" xr:uid="{00000000-0005-0000-0000-000050040000}"/>
    <cellStyle name="g_rate_Proj10_Disc Analysis_CompSheet" xfId="1106" xr:uid="{00000000-0005-0000-0000-000051040000}"/>
    <cellStyle name="g_rate_Proj10_Disc Analysis_THEsumPage (2)" xfId="1107" xr:uid="{00000000-0005-0000-0000-000052040000}"/>
    <cellStyle name="g_rate_Proj10_Fairness Opinion Valuation 4-23a.xls Chart 1" xfId="1108" xr:uid="{00000000-0005-0000-0000-000053040000}"/>
    <cellStyle name="g_rate_Proj10_LP Chart" xfId="1109" xr:uid="{00000000-0005-0000-0000-000054040000}"/>
    <cellStyle name="g_rate_Proj10_LP Chart_THEsumPage (2)" xfId="1110" xr:uid="{00000000-0005-0000-0000-000055040000}"/>
    <cellStyle name="g_rate_Proj10_Merg Cons" xfId="1111" xr:uid="{00000000-0005-0000-0000-000056040000}"/>
    <cellStyle name="g_rate_Proj10_Merg Cons_CompSheet" xfId="1112" xr:uid="{00000000-0005-0000-0000-000057040000}"/>
    <cellStyle name="g_rate_Proj10_Merg Cons_THEsumPage (2)" xfId="1113" xr:uid="{00000000-0005-0000-0000-000058040000}"/>
    <cellStyle name="g_rate_Proj10_PowerValuation.xls Chart 21" xfId="1114" xr:uid="{00000000-0005-0000-0000-000059040000}"/>
    <cellStyle name="g_rate_Proj10_PowerValuation.xls Chart 28" xfId="1115" xr:uid="{00000000-0005-0000-0000-00005A040000}"/>
    <cellStyle name="g_rate_Proj10_Sensitivity" xfId="1116" xr:uid="{00000000-0005-0000-0000-00005B040000}"/>
    <cellStyle name="g_rate_Proj10_Sensitivity_CompSheet" xfId="1117" xr:uid="{00000000-0005-0000-0000-00005C040000}"/>
    <cellStyle name="g_rate_Proj10_Sensitivity_THEsumPage (2)" xfId="1118" xr:uid="{00000000-0005-0000-0000-00005D040000}"/>
    <cellStyle name="g_rate_Proj10_show-hold" xfId="1119" xr:uid="{00000000-0005-0000-0000-00005E040000}"/>
    <cellStyle name="g_rate_Proj10_show-hold_Graphic Depiction - NO DEV" xfId="1120" xr:uid="{00000000-0005-0000-0000-00005F040000}"/>
    <cellStyle name="g_rate_Proj10_show-hold_THEsumPage (2)" xfId="1121" xr:uid="{00000000-0005-0000-0000-000060040000}"/>
    <cellStyle name="g_rate_Proj10_THEsumPage (2)" xfId="1122" xr:uid="{00000000-0005-0000-0000-000061040000}"/>
    <cellStyle name="g_rate_Proj10_Valuation summaries" xfId="1123" xr:uid="{00000000-0005-0000-0000-000062040000}"/>
    <cellStyle name="g_rate_Proj10_WACC-CableCar" xfId="1124" xr:uid="{00000000-0005-0000-0000-000063040000}"/>
    <cellStyle name="g_rate_Proj10_WACC-CableCar_THEsumPage (2)" xfId="1125" xr:uid="{00000000-0005-0000-0000-000064040000}"/>
    <cellStyle name="g_rate_Proj10_WACC-RAD (2)" xfId="1126" xr:uid="{00000000-0005-0000-0000-000065040000}"/>
    <cellStyle name="g_rate_Proj10_WACC-RAD (2)_THEsumPage (2)" xfId="1127" xr:uid="{00000000-0005-0000-0000-000066040000}"/>
    <cellStyle name="g_rate_Sensitivity" xfId="1128" xr:uid="{00000000-0005-0000-0000-000067040000}"/>
    <cellStyle name="g_rate_Sensitivity_CompSheet" xfId="1129" xr:uid="{00000000-0005-0000-0000-000068040000}"/>
    <cellStyle name="g_rate_Sensitivity_THEsumPage (2)" xfId="1130" xr:uid="{00000000-0005-0000-0000-000069040000}"/>
    <cellStyle name="g_rate_show-hold" xfId="1131" xr:uid="{00000000-0005-0000-0000-00006A040000}"/>
    <cellStyle name="g_rate_show-hold_CompSheet" xfId="1132" xr:uid="{00000000-0005-0000-0000-00006B040000}"/>
    <cellStyle name="g_rate_show-hold_THEsumPage (2)" xfId="1133" xr:uid="{00000000-0005-0000-0000-00006C040000}"/>
    <cellStyle name="g_rate_THEsumPage (2)" xfId="1134" xr:uid="{00000000-0005-0000-0000-00006D040000}"/>
    <cellStyle name="g_rate_Valuation summaries" xfId="1135" xr:uid="{00000000-0005-0000-0000-00006E040000}"/>
    <cellStyle name="g_rate_WACC-CableCar" xfId="1136" xr:uid="{00000000-0005-0000-0000-00006F040000}"/>
    <cellStyle name="g_rate_WACC-CableCar_THEsumPage (2)" xfId="1137" xr:uid="{00000000-0005-0000-0000-000070040000}"/>
    <cellStyle name="g_rate_WACC-RAD (2)" xfId="1138" xr:uid="{00000000-0005-0000-0000-000071040000}"/>
    <cellStyle name="g_rate_WACC-RAD (2)_THEsumPage (2)" xfId="1139" xr:uid="{00000000-0005-0000-0000-000072040000}"/>
    <cellStyle name="general" xfId="1140" xr:uid="{00000000-0005-0000-0000-000073040000}"/>
    <cellStyle name="Global" xfId="1141" xr:uid="{00000000-0005-0000-0000-000074040000}"/>
    <cellStyle name="Grey" xfId="1142" xr:uid="{00000000-0005-0000-0000-000075040000}"/>
    <cellStyle name="GrowthRate" xfId="1143" xr:uid="{00000000-0005-0000-0000-000076040000}"/>
    <cellStyle name="Hard No." xfId="1144" xr:uid="{00000000-0005-0000-0000-000077040000}"/>
    <cellStyle name="Hard Num" xfId="1145" xr:uid="{00000000-0005-0000-0000-000078040000}"/>
    <cellStyle name="Hard Percent" xfId="1146" xr:uid="{00000000-0005-0000-0000-000079040000}"/>
    <cellStyle name="HEADER" xfId="1147" xr:uid="{00000000-0005-0000-0000-00007A040000}"/>
    <cellStyle name="Header1" xfId="1148" xr:uid="{00000000-0005-0000-0000-00007B040000}"/>
    <cellStyle name="Header2" xfId="1149" xr:uid="{00000000-0005-0000-0000-00007C040000}"/>
    <cellStyle name="headers" xfId="1150" xr:uid="{00000000-0005-0000-0000-00007D040000}"/>
    <cellStyle name="Heading" xfId="1151" xr:uid="{00000000-0005-0000-0000-00007E040000}"/>
    <cellStyle name="Heading 1" xfId="1152" xr:uid="{00000000-0005-0000-0000-00007F040000}"/>
    <cellStyle name="Heading 2" xfId="1153" xr:uid="{00000000-0005-0000-0000-000080040000}"/>
    <cellStyle name="Heading 3" xfId="1154" xr:uid="{00000000-0005-0000-0000-000081040000}"/>
    <cellStyle name="heading_FPL acc.dil v8" xfId="1155" xr:uid="{00000000-0005-0000-0000-000082040000}"/>
    <cellStyle name="Heading1" xfId="1156" xr:uid="{00000000-0005-0000-0000-000083040000}"/>
    <cellStyle name="Heading2" xfId="1157" xr:uid="{00000000-0005-0000-0000-000084040000}"/>
    <cellStyle name="HIGHLIGHT" xfId="1158" xr:uid="{00000000-0005-0000-0000-000085040000}"/>
    <cellStyle name="Hiperlink" xfId="1159" builtinId="8"/>
    <cellStyle name="Hipervínculo visitado_Inversiones Febrero 2000 reports" xfId="1160" xr:uid="{00000000-0005-0000-0000-000087040000}"/>
    <cellStyle name="Hipervínculo_ENERGIA SEMPRA feb-2000 (sin cobros indebidos)" xfId="1161" xr:uid="{00000000-0005-0000-0000-000088040000}"/>
    <cellStyle name="Historical" xfId="1162" xr:uid="{00000000-0005-0000-0000-000089040000}"/>
    <cellStyle name="IncomeStatement" xfId="1163" xr:uid="{00000000-0005-0000-0000-00008A040000}"/>
    <cellStyle name="Inconsistent" xfId="1164" xr:uid="{00000000-0005-0000-0000-00008B040000}"/>
    <cellStyle name="Indefinido" xfId="1165" xr:uid="{00000000-0005-0000-0000-00008C040000}"/>
    <cellStyle name="Info Cell" xfId="1166" xr:uid="{00000000-0005-0000-0000-00008D040000}"/>
    <cellStyle name="Information" xfId="1167" xr:uid="{00000000-0005-0000-0000-00008E040000}"/>
    <cellStyle name="Input" xfId="1168" xr:uid="{00000000-0005-0000-0000-00008F040000}"/>
    <cellStyle name="Input (£m)" xfId="1169" xr:uid="{00000000-0005-0000-0000-000090040000}"/>
    <cellStyle name="Input [yellow]" xfId="1170" xr:uid="{00000000-0005-0000-0000-000091040000}"/>
    <cellStyle name="Input Cells" xfId="1171" xr:uid="{00000000-0005-0000-0000-000092040000}"/>
    <cellStyle name="Input Currency" xfId="1172" xr:uid="{00000000-0005-0000-0000-000093040000}"/>
    <cellStyle name="Input Date" xfId="1173" xr:uid="{00000000-0005-0000-0000-000094040000}"/>
    <cellStyle name="Input Fixed [0]" xfId="1174" xr:uid="{00000000-0005-0000-0000-000095040000}"/>
    <cellStyle name="Input Normal" xfId="1175" xr:uid="{00000000-0005-0000-0000-000096040000}"/>
    <cellStyle name="input override" xfId="1176" xr:uid="{00000000-0005-0000-0000-000097040000}"/>
    <cellStyle name="Input Percent" xfId="1177" xr:uid="{00000000-0005-0000-0000-000098040000}"/>
    <cellStyle name="Input Percent [2]" xfId="1178" xr:uid="{00000000-0005-0000-0000-000099040000}"/>
    <cellStyle name="Input Percent_~1445599" xfId="1179" xr:uid="{00000000-0005-0000-0000-00009A040000}"/>
    <cellStyle name="Input Titles" xfId="1180" xr:uid="{00000000-0005-0000-0000-00009B040000}"/>
    <cellStyle name="Input_$cell" xfId="1181" xr:uid="{00000000-0005-0000-0000-00009C040000}"/>
    <cellStyle name="Input1" xfId="1182" xr:uid="{00000000-0005-0000-0000-00009D040000}"/>
    <cellStyle name="Input2" xfId="1183" xr:uid="{00000000-0005-0000-0000-00009E040000}"/>
    <cellStyle name="InputCurrency" xfId="1184" xr:uid="{00000000-0005-0000-0000-00009F040000}"/>
    <cellStyle name="InputCurrency2" xfId="1185" xr:uid="{00000000-0005-0000-0000-0000A0040000}"/>
    <cellStyle name="InputMultiple1" xfId="1186" xr:uid="{00000000-0005-0000-0000-0000A1040000}"/>
    <cellStyle name="InputPercent1" xfId="1187" xr:uid="{00000000-0005-0000-0000-0000A2040000}"/>
    <cellStyle name="Item" xfId="1188" xr:uid="{00000000-0005-0000-0000-0000A3040000}"/>
    <cellStyle name="Item Descriptions" xfId="1189" xr:uid="{00000000-0005-0000-0000-0000A4040000}"/>
    <cellStyle name="Item Descriptions - Bold" xfId="1190" xr:uid="{00000000-0005-0000-0000-0000A5040000}"/>
    <cellStyle name="Item Descriptions_6079BX" xfId="1191" xr:uid="{00000000-0005-0000-0000-0000A6040000}"/>
    <cellStyle name="JustOneDec" xfId="1192" xr:uid="{00000000-0005-0000-0000-0000A7040000}"/>
    <cellStyle name="L BP" xfId="1193" xr:uid="{00000000-0005-0000-0000-0000A8040000}"/>
    <cellStyle name="Lable8Left" xfId="1194" xr:uid="{00000000-0005-0000-0000-0000A9040000}"/>
    <cellStyle name="Lien hypertexte" xfId="1195" xr:uid="{00000000-0005-0000-0000-0000AA040000}"/>
    <cellStyle name="Lien hypertexte visité" xfId="1196" xr:uid="{00000000-0005-0000-0000-0000AB040000}"/>
    <cellStyle name="Line" xfId="1197" xr:uid="{00000000-0005-0000-0000-0000AC040000}"/>
    <cellStyle name="Link Currency (0)" xfId="1198" xr:uid="{00000000-0005-0000-0000-0000AD040000}"/>
    <cellStyle name="Link Currency (2)" xfId="1199" xr:uid="{00000000-0005-0000-0000-0000AE040000}"/>
    <cellStyle name="Link Units (0)" xfId="1200" xr:uid="{00000000-0005-0000-0000-0000AF040000}"/>
    <cellStyle name="Link Units (1)" xfId="1201" xr:uid="{00000000-0005-0000-0000-0000B0040000}"/>
    <cellStyle name="Link Units (2)" xfId="1202" xr:uid="{00000000-0005-0000-0000-0000B1040000}"/>
    <cellStyle name="Linked Cells" xfId="1203" xr:uid="{00000000-0005-0000-0000-0000B2040000}"/>
    <cellStyle name="locked" xfId="1204" xr:uid="{00000000-0005-0000-0000-0000B3040000}"/>
    <cellStyle name="m" xfId="1205" xr:uid="{00000000-0005-0000-0000-0000B4040000}"/>
    <cellStyle name="m$" xfId="1206" xr:uid="{00000000-0005-0000-0000-0000B5040000}"/>
    <cellStyle name="m/d/yy" xfId="1207" xr:uid="{00000000-0005-0000-0000-0000B6040000}"/>
    <cellStyle name="m_AVP" xfId="1208" xr:uid="{00000000-0005-0000-0000-0000B7040000}"/>
    <cellStyle name="m_Disc Analysis" xfId="1209" xr:uid="{00000000-0005-0000-0000-0000B8040000}"/>
    <cellStyle name="m_LP Chart" xfId="1210" xr:uid="{00000000-0005-0000-0000-0000B9040000}"/>
    <cellStyle name="m_Merg Cons" xfId="1211" xr:uid="{00000000-0005-0000-0000-0000BA040000}"/>
    <cellStyle name="m_Proj10" xfId="1212" xr:uid="{00000000-0005-0000-0000-0000BB040000}"/>
    <cellStyle name="m_Proj10_AVP" xfId="1213" xr:uid="{00000000-0005-0000-0000-0000BC040000}"/>
    <cellStyle name="m_Proj10_Disc Analysis" xfId="1214" xr:uid="{00000000-0005-0000-0000-0000BD040000}"/>
    <cellStyle name="m_Proj10_LP Chart" xfId="1215" xr:uid="{00000000-0005-0000-0000-0000BE040000}"/>
    <cellStyle name="m_Proj10_Merg Cons" xfId="1216" xr:uid="{00000000-0005-0000-0000-0000BF040000}"/>
    <cellStyle name="m_Proj10_Sensitivity" xfId="1217" xr:uid="{00000000-0005-0000-0000-0000C0040000}"/>
    <cellStyle name="m_Proj10_show-hold" xfId="1218" xr:uid="{00000000-0005-0000-0000-0000C1040000}"/>
    <cellStyle name="m_Proj10_WACC-CableCar" xfId="1219" xr:uid="{00000000-0005-0000-0000-0000C2040000}"/>
    <cellStyle name="m_Proj10_WACC-RAD (2)" xfId="1220" xr:uid="{00000000-0005-0000-0000-0000C3040000}"/>
    <cellStyle name="m_Sensitivity" xfId="1221" xr:uid="{00000000-0005-0000-0000-0000C4040000}"/>
    <cellStyle name="m_show-hold" xfId="1222" xr:uid="{00000000-0005-0000-0000-0000C5040000}"/>
    <cellStyle name="m_WACC-CableCar" xfId="1223" xr:uid="{00000000-0005-0000-0000-0000C6040000}"/>
    <cellStyle name="m_WACC-RAD (2)" xfId="1224" xr:uid="{00000000-0005-0000-0000-0000C7040000}"/>
    <cellStyle name="Margins" xfId="1225" xr:uid="{00000000-0005-0000-0000-0000C8040000}"/>
    <cellStyle name="MCM" xfId="1226" xr:uid="{00000000-0005-0000-0000-0000C9040000}"/>
    <cellStyle name="Migliaia (0)_1320 NX" xfId="1227" xr:uid="{00000000-0005-0000-0000-0000CA040000}"/>
    <cellStyle name="Migliaia_1320 NX" xfId="1228" xr:uid="{00000000-0005-0000-0000-0000CB040000}"/>
    <cellStyle name="Millares [0,1]" xfId="1229" xr:uid="{00000000-0005-0000-0000-0000CC040000}"/>
    <cellStyle name="Millares [0.0]" xfId="1230" xr:uid="{00000000-0005-0000-0000-0000CD040000}"/>
    <cellStyle name="Millares [0.1]" xfId="1231" xr:uid="{00000000-0005-0000-0000-0000CE040000}"/>
    <cellStyle name="Millares [0]_$aSOLES" xfId="1232" xr:uid="{00000000-0005-0000-0000-0000CF040000}"/>
    <cellStyle name="Millares [1]" xfId="1233" xr:uid="{00000000-0005-0000-0000-0000D0040000}"/>
    <cellStyle name="Millares [2]" xfId="1234" xr:uid="{00000000-0005-0000-0000-0000D1040000}"/>
    <cellStyle name="Millares [3]" xfId="1235" xr:uid="{00000000-0005-0000-0000-0000D2040000}"/>
    <cellStyle name="Millares(0)" xfId="1236" xr:uid="{00000000-0005-0000-0000-0000D3040000}"/>
    <cellStyle name="Millares(1)" xfId="1237" xr:uid="{00000000-0005-0000-0000-0000D4040000}"/>
    <cellStyle name="Millares[1]" xfId="1238" xr:uid="{00000000-0005-0000-0000-0000D5040000}"/>
    <cellStyle name="Millares_$aSOLES" xfId="1239" xr:uid="{00000000-0005-0000-0000-0000D6040000}"/>
    <cellStyle name="Milliers [0]_!!!GO" xfId="1240" xr:uid="{00000000-0005-0000-0000-0000D7040000}"/>
    <cellStyle name="Milliers_!!!GO" xfId="1241" xr:uid="{00000000-0005-0000-0000-0000D8040000}"/>
    <cellStyle name="MLComma0" xfId="1242" xr:uid="{00000000-0005-0000-0000-0000D9040000}"/>
    <cellStyle name="MLDollar0" xfId="1243" xr:uid="{00000000-0005-0000-0000-0000DA040000}"/>
    <cellStyle name="MLEuro0" xfId="1244" xr:uid="{00000000-0005-0000-0000-0000DB040000}"/>
    <cellStyle name="MLMultiple0" xfId="1245" xr:uid="{00000000-0005-0000-0000-0000DC040000}"/>
    <cellStyle name="MLPercent0" xfId="1246" xr:uid="{00000000-0005-0000-0000-0000DD040000}"/>
    <cellStyle name="MLPound0" xfId="1247" xr:uid="{00000000-0005-0000-0000-0000DE040000}"/>
    <cellStyle name="MLYen0" xfId="1248" xr:uid="{00000000-0005-0000-0000-0000DF040000}"/>
    <cellStyle name="mm" xfId="1249" xr:uid="{00000000-0005-0000-0000-0000E0040000}"/>
    <cellStyle name="Moeda_SLCProjecao_11_2012_Forecast_Comp New" xfId="1250" xr:uid="{00000000-0005-0000-0000-0000E1040000}"/>
    <cellStyle name="Moneda [0]_$aSOLES" xfId="1251" xr:uid="{00000000-0005-0000-0000-0000E2040000}"/>
    <cellStyle name="Moneda_$aSOLES" xfId="1252" xr:uid="{00000000-0005-0000-0000-0000E3040000}"/>
    <cellStyle name="Monétaire [0]_!!!GO" xfId="1253" xr:uid="{00000000-0005-0000-0000-0000E4040000}"/>
    <cellStyle name="Monétaire_!!!GO" xfId="1254" xr:uid="{00000000-0005-0000-0000-0000E5040000}"/>
    <cellStyle name="Monétaire0" xfId="1255" xr:uid="{00000000-0005-0000-0000-0000E6040000}"/>
    <cellStyle name="Money" xfId="1256" xr:uid="{00000000-0005-0000-0000-0000E7040000}"/>
    <cellStyle name="Money2" xfId="1257" xr:uid="{00000000-0005-0000-0000-0000E8040000}"/>
    <cellStyle name="Morgan" xfId="1258" xr:uid="{00000000-0005-0000-0000-0000E9040000}"/>
    <cellStyle name="Morgan assump" xfId="1259" xr:uid="{00000000-0005-0000-0000-0000EA040000}"/>
    <cellStyle name="Morgan pct assump" xfId="1260" xr:uid="{00000000-0005-0000-0000-0000EB040000}"/>
    <cellStyle name="movimentação" xfId="1261" xr:uid="{00000000-0005-0000-0000-0000EC040000}"/>
    <cellStyle name="Muliple" xfId="1262" xr:uid="{00000000-0005-0000-0000-0000ED040000}"/>
    <cellStyle name="Multiple" xfId="1263" xr:uid="{00000000-0005-0000-0000-0000EE040000}"/>
    <cellStyle name="Multiple [1]" xfId="1264" xr:uid="{00000000-0005-0000-0000-0000EF040000}"/>
    <cellStyle name="Multiple_AD template_v2" xfId="1265" xr:uid="{00000000-0005-0000-0000-0000F0040000}"/>
    <cellStyle name="Multiple1" xfId="1266" xr:uid="{00000000-0005-0000-0000-0000F1040000}"/>
    <cellStyle name="Multiple-Special" xfId="1267" xr:uid="{00000000-0005-0000-0000-0000F2040000}"/>
    <cellStyle name="NA is zero" xfId="1268" xr:uid="{00000000-0005-0000-0000-0000F3040000}"/>
    <cellStyle name="new" xfId="1269" xr:uid="{00000000-0005-0000-0000-0000F4040000}"/>
    <cellStyle name="no dec" xfId="1270" xr:uid="{00000000-0005-0000-0000-0000F5040000}"/>
    <cellStyle name="Non-Input" xfId="1271" xr:uid="{00000000-0005-0000-0000-0000F6040000}"/>
    <cellStyle name="Normal" xfId="0" builtinId="0"/>
    <cellStyle name="Normal--" xfId="1272" xr:uid="{00000000-0005-0000-0000-0000F8040000}"/>
    <cellStyle name="Normal - Style1" xfId="1273" xr:uid="{00000000-0005-0000-0000-0000F9040000}"/>
    <cellStyle name="Normal (£m)" xfId="1274" xr:uid="{00000000-0005-0000-0000-0000FA040000}"/>
    <cellStyle name="Normal [0]" xfId="1275" xr:uid="{00000000-0005-0000-0000-0000FB040000}"/>
    <cellStyle name="Normal [1]" xfId="1276" xr:uid="{00000000-0005-0000-0000-0000FC040000}"/>
    <cellStyle name="Normal [2]" xfId="1277" xr:uid="{00000000-0005-0000-0000-0000FD040000}"/>
    <cellStyle name="Normal [3]" xfId="1278" xr:uid="{00000000-0005-0000-0000-0000FE040000}"/>
    <cellStyle name="Normal 10" xfId="1279" xr:uid="{00000000-0005-0000-0000-0000FF040000}"/>
    <cellStyle name="Normal 11" xfId="1280" xr:uid="{00000000-0005-0000-0000-000000050000}"/>
    <cellStyle name="Normal 12" xfId="1281" xr:uid="{00000000-0005-0000-0000-000001050000}"/>
    <cellStyle name="Normal 13" xfId="1282" xr:uid="{00000000-0005-0000-0000-000002050000}"/>
    <cellStyle name="Normal 2" xfId="1283" xr:uid="{00000000-0005-0000-0000-000003050000}"/>
    <cellStyle name="Normal 2 2" xfId="1284" xr:uid="{00000000-0005-0000-0000-000004050000}"/>
    <cellStyle name="Normal 2 2 2" xfId="1285" xr:uid="{00000000-0005-0000-0000-000005050000}"/>
    <cellStyle name="Normal 2 3" xfId="1286" xr:uid="{00000000-0005-0000-0000-000006050000}"/>
    <cellStyle name="Normal 2 4" xfId="1287" xr:uid="{00000000-0005-0000-0000-000007050000}"/>
    <cellStyle name="Normal 3" xfId="1288" xr:uid="{00000000-0005-0000-0000-000008050000}"/>
    <cellStyle name="Normal 3 2" xfId="1289" xr:uid="{00000000-0005-0000-0000-000009050000}"/>
    <cellStyle name="Normal 3 3" xfId="1290" xr:uid="{00000000-0005-0000-0000-00000A050000}"/>
    <cellStyle name="Normal 3 4" xfId="1291" xr:uid="{00000000-0005-0000-0000-00000B050000}"/>
    <cellStyle name="Normal 4" xfId="1292" xr:uid="{00000000-0005-0000-0000-00000C050000}"/>
    <cellStyle name="Normal 4 2" xfId="1293" xr:uid="{00000000-0005-0000-0000-00000D050000}"/>
    <cellStyle name="Normal 4 2 2" xfId="1294" xr:uid="{00000000-0005-0000-0000-00000E050000}"/>
    <cellStyle name="Normal 4 3" xfId="1295" xr:uid="{00000000-0005-0000-0000-00000F050000}"/>
    <cellStyle name="Normal 5" xfId="1296" xr:uid="{00000000-0005-0000-0000-000010050000}"/>
    <cellStyle name="Normal 5 2" xfId="1297" xr:uid="{00000000-0005-0000-0000-000011050000}"/>
    <cellStyle name="Normal 6" xfId="1298" xr:uid="{00000000-0005-0000-0000-000012050000}"/>
    <cellStyle name="Normal 7" xfId="1299" xr:uid="{00000000-0005-0000-0000-000013050000}"/>
    <cellStyle name="Normal 8" xfId="1300" xr:uid="{00000000-0005-0000-0000-000014050000}"/>
    <cellStyle name="Normal 9" xfId="1301" xr:uid="{00000000-0005-0000-0000-000015050000}"/>
    <cellStyle name="Normal Bold" xfId="1302" xr:uid="{00000000-0005-0000-0000-000016050000}"/>
    <cellStyle name="Normal I" xfId="1303" xr:uid="{00000000-0005-0000-0000-000017050000}"/>
    <cellStyle name="Normal II" xfId="1304" xr:uid="{00000000-0005-0000-0000-000018050000}"/>
    <cellStyle name="Normal II a" xfId="1305" xr:uid="{00000000-0005-0000-0000-000019050000}"/>
    <cellStyle name="Normal Pct" xfId="1306" xr:uid="{00000000-0005-0000-0000-00001A050000}"/>
    <cellStyle name="Normal Zero White" xfId="1307" xr:uid="{00000000-0005-0000-0000-00001B050000}"/>
    <cellStyle name="Normal--_football field" xfId="1308" xr:uid="{00000000-0005-0000-0000-00001C050000}"/>
    <cellStyle name="Normal_Page 6" xfId="1309" xr:uid="{00000000-0005-0000-0000-00001D050000}"/>
    <cellStyle name="Normal_Projeto Fazenda Nova Holanda 28500" xfId="1310" xr:uid="{00000000-0005-0000-0000-00001E050000}"/>
    <cellStyle name="Normal_Promigas_JPM_Nov1_110" xfId="1311" xr:uid="{00000000-0005-0000-0000-00001F050000}"/>
    <cellStyle name="Normal_SLC Model_14-05-07" xfId="1312" xr:uid="{00000000-0005-0000-0000-000020050000}"/>
    <cellStyle name="Normal_SLC Model_Adaptado" xfId="1313" xr:uid="{00000000-0005-0000-0000-000021050000}"/>
    <cellStyle name="Normal_SLCProjecao_11_2012_Forecast" xfId="1314" xr:uid="{00000000-0005-0000-0000-000022050000}"/>
    <cellStyle name="Normal_SLCProjecao_11_2012_Forecast_Comp New" xfId="1315" xr:uid="{00000000-0005-0000-0000-000023050000}"/>
    <cellStyle name="Normal1" xfId="1316" xr:uid="{00000000-0005-0000-0000-000024050000}"/>
    <cellStyle name="Normal2" xfId="1317" xr:uid="{00000000-0005-0000-0000-000025050000}"/>
    <cellStyle name="NormalBold" xfId="1318" xr:uid="{00000000-0005-0000-0000-000026050000}"/>
    <cellStyle name="Normale_1320 NX" xfId="1319" xr:uid="{00000000-0005-0000-0000-000027050000}"/>
    <cellStyle name="NormalGB" xfId="1320" xr:uid="{00000000-0005-0000-0000-000028050000}"/>
    <cellStyle name="NormalHelv" xfId="1321" xr:uid="{00000000-0005-0000-0000-000029050000}"/>
    <cellStyle name="NormalMultiple" xfId="1322" xr:uid="{00000000-0005-0000-0000-00002A050000}"/>
    <cellStyle name="NormalX" xfId="1323" xr:uid="{00000000-0005-0000-0000-00002B050000}"/>
    <cellStyle name="NormalxShadow" xfId="1324" xr:uid="{00000000-0005-0000-0000-00002C050000}"/>
    <cellStyle name="NPPESalesPct" xfId="1325" xr:uid="{00000000-0005-0000-0000-00002D050000}"/>
    <cellStyle name="Num1" xfId="1326" xr:uid="{00000000-0005-0000-0000-00002E050000}"/>
    <cellStyle name="Num1Blue" xfId="1327" xr:uid="{00000000-0005-0000-0000-00002F050000}"/>
    <cellStyle name="number" xfId="1328" xr:uid="{00000000-0005-0000-0000-000030050000}"/>
    <cellStyle name="Numbers" xfId="1329" xr:uid="{00000000-0005-0000-0000-000031050000}"/>
    <cellStyle name="Numbers - Bold" xfId="1330" xr:uid="{00000000-0005-0000-0000-000032050000}"/>
    <cellStyle name="Numbers - Bold - Italic" xfId="1331" xr:uid="{00000000-0005-0000-0000-000033050000}"/>
    <cellStyle name="Numbers - Bold_6079BX" xfId="1332" xr:uid="{00000000-0005-0000-0000-000034050000}"/>
    <cellStyle name="Numbers - Large" xfId="1333" xr:uid="{00000000-0005-0000-0000-000035050000}"/>
    <cellStyle name="Numbers_6079BX" xfId="1334" xr:uid="{00000000-0005-0000-0000-000036050000}"/>
    <cellStyle name="NWI%S" xfId="1335" xr:uid="{00000000-0005-0000-0000-000037050000}"/>
    <cellStyle name="Obsolete" xfId="1336" xr:uid="{00000000-0005-0000-0000-000038050000}"/>
    <cellStyle name="Œ…‹æØ‚è [0.00]_!!!GO" xfId="1337" xr:uid="{00000000-0005-0000-0000-000039050000}"/>
    <cellStyle name="Œ…‹æØ‚è_!!!GO" xfId="1338" xr:uid="{00000000-0005-0000-0000-00003A050000}"/>
    <cellStyle name="Output Amounts" xfId="1339" xr:uid="{00000000-0005-0000-0000-00003B050000}"/>
    <cellStyle name="Output Column Headings" xfId="1340" xr:uid="{00000000-0005-0000-0000-00003C050000}"/>
    <cellStyle name="Output Line Items" xfId="1341" xr:uid="{00000000-0005-0000-0000-00003D050000}"/>
    <cellStyle name="Output Report Heading" xfId="1342" xr:uid="{00000000-0005-0000-0000-00003E050000}"/>
    <cellStyle name="Output Report Title" xfId="1343" xr:uid="{00000000-0005-0000-0000-00003F050000}"/>
    <cellStyle name="P&amp;L Numbers" xfId="1344" xr:uid="{00000000-0005-0000-0000-000040050000}"/>
    <cellStyle name="Page Heading Large" xfId="1345" xr:uid="{00000000-0005-0000-0000-000041050000}"/>
    <cellStyle name="Page Heading Small" xfId="1346" xr:uid="{00000000-0005-0000-0000-000042050000}"/>
    <cellStyle name="Page Number" xfId="1347" xr:uid="{00000000-0005-0000-0000-000043050000}"/>
    <cellStyle name="Palatino" xfId="1348" xr:uid="{00000000-0005-0000-0000-000044050000}"/>
    <cellStyle name="PB Table Heading" xfId="1349" xr:uid="{00000000-0005-0000-0000-000045050000}"/>
    <cellStyle name="PB Table Highlight1" xfId="1350" xr:uid="{00000000-0005-0000-0000-000046050000}"/>
    <cellStyle name="PB Table Highlight2" xfId="1351" xr:uid="{00000000-0005-0000-0000-000047050000}"/>
    <cellStyle name="PB Table Highlight3" xfId="1352" xr:uid="{00000000-0005-0000-0000-000048050000}"/>
    <cellStyle name="PB Table Standard Row" xfId="1353" xr:uid="{00000000-0005-0000-0000-000049050000}"/>
    <cellStyle name="PB Table Subtotal Row" xfId="1354" xr:uid="{00000000-0005-0000-0000-00004A050000}"/>
    <cellStyle name="PB Table Total Row" xfId="1355" xr:uid="{00000000-0005-0000-0000-00004B050000}"/>
    <cellStyle name="pc1" xfId="1356" xr:uid="{00000000-0005-0000-0000-00004C050000}"/>
    <cellStyle name="pct_sub" xfId="1357" xr:uid="{00000000-0005-0000-0000-00004D050000}"/>
    <cellStyle name="pe" xfId="1358" xr:uid="{00000000-0005-0000-0000-00004E050000}"/>
    <cellStyle name="PE(1)" xfId="1359" xr:uid="{00000000-0005-0000-0000-00004F050000}"/>
    <cellStyle name="PEG" xfId="1360" xr:uid="{00000000-0005-0000-0000-000050050000}"/>
    <cellStyle name="per.style" xfId="1361" xr:uid="{00000000-0005-0000-0000-000051050000}"/>
    <cellStyle name="Percen - Estilo1" xfId="1362" xr:uid="{00000000-0005-0000-0000-000052050000}"/>
    <cellStyle name="Percent (0)" xfId="1363" xr:uid="{00000000-0005-0000-0000-000053050000}"/>
    <cellStyle name="Percent [.00%]" xfId="1364" xr:uid="{00000000-0005-0000-0000-000054050000}"/>
    <cellStyle name="Percent [0]" xfId="1365" xr:uid="{00000000-0005-0000-0000-000055050000}"/>
    <cellStyle name="Percent [00]" xfId="1366" xr:uid="{00000000-0005-0000-0000-000056050000}"/>
    <cellStyle name="Percent [1]" xfId="1367" xr:uid="{00000000-0005-0000-0000-000057050000}"/>
    <cellStyle name="Percent [1]--" xfId="1368" xr:uid="{00000000-0005-0000-0000-000058050000}"/>
    <cellStyle name="Percent [1] --" xfId="1369" xr:uid="{00000000-0005-0000-0000-000059050000}"/>
    <cellStyle name="Percent [1]_~1445599" xfId="1370" xr:uid="{00000000-0005-0000-0000-00005A050000}"/>
    <cellStyle name="Percent [1]--_Papaya_Elektro_v03" xfId="1371" xr:uid="{00000000-0005-0000-0000-00005B050000}"/>
    <cellStyle name="Percent [1]_Papaya_Elektro_v04" xfId="1372" xr:uid="{00000000-0005-0000-0000-00005C050000}"/>
    <cellStyle name="Percent [1]--_Papaya_Elektro_v04" xfId="1373" xr:uid="{00000000-0005-0000-0000-00005D050000}"/>
    <cellStyle name="Percent [1]_RB IV - Apr-28-05 - EDF" xfId="1374" xr:uid="{00000000-0005-0000-0000-00005E050000}"/>
    <cellStyle name="Percent [1]--_SUE_LATAM-final" xfId="1375" xr:uid="{00000000-0005-0000-0000-00005F050000}"/>
    <cellStyle name="Percent [1]_WACC Papaya_v02" xfId="1376" xr:uid="{00000000-0005-0000-0000-000060050000}"/>
    <cellStyle name="Percent [1]--_WACC Papaya_v02" xfId="1377" xr:uid="{00000000-0005-0000-0000-000061050000}"/>
    <cellStyle name="Percent [2]" xfId="1378" xr:uid="{00000000-0005-0000-0000-000062050000}"/>
    <cellStyle name="Percent [3]" xfId="1379" xr:uid="{00000000-0005-0000-0000-000063050000}"/>
    <cellStyle name="Percent [3]--" xfId="1380" xr:uid="{00000000-0005-0000-0000-000064050000}"/>
    <cellStyle name="Percent Comma" xfId="1381" xr:uid="{00000000-0005-0000-0000-000065050000}"/>
    <cellStyle name="Percent Hard" xfId="1382" xr:uid="{00000000-0005-0000-0000-000066050000}"/>
    <cellStyle name="Percent input" xfId="1383" xr:uid="{00000000-0005-0000-0000-000067050000}"/>
    <cellStyle name="Percent w/ decimals" xfId="1384" xr:uid="{00000000-0005-0000-0000-000068050000}"/>
    <cellStyle name="Percent(0)" xfId="1385" xr:uid="{00000000-0005-0000-0000-000069050000}"/>
    <cellStyle name="Percent(1)" xfId="1386" xr:uid="{00000000-0005-0000-0000-00006A050000}"/>
    <cellStyle name="Percent1" xfId="1387" xr:uid="{00000000-0005-0000-0000-00006B050000}"/>
    <cellStyle name="Percent1Blue" xfId="1388" xr:uid="{00000000-0005-0000-0000-00006C050000}"/>
    <cellStyle name="Percentage" xfId="1389" xr:uid="{00000000-0005-0000-0000-00006D050000}"/>
    <cellStyle name="PercentageParen" xfId="1390" xr:uid="{00000000-0005-0000-0000-00006E050000}"/>
    <cellStyle name="PercentPresentation" xfId="1391" xr:uid="{00000000-0005-0000-0000-00006F050000}"/>
    <cellStyle name="PercentSales" xfId="1392" xr:uid="{00000000-0005-0000-0000-000070050000}"/>
    <cellStyle name="Perlong" xfId="1393" xr:uid="{00000000-0005-0000-0000-000071050000}"/>
    <cellStyle name="pink" xfId="1394" xr:uid="{00000000-0005-0000-0000-000072050000}"/>
    <cellStyle name="POA" xfId="1395" xr:uid="{00000000-0005-0000-0000-000073050000}"/>
    <cellStyle name="POPS" xfId="1396" xr:uid="{00000000-0005-0000-0000-000074050000}"/>
    <cellStyle name="Porcentagem" xfId="1397" builtinId="5"/>
    <cellStyle name="Porcentagem 2" xfId="1398" xr:uid="{00000000-0005-0000-0000-000076050000}"/>
    <cellStyle name="Porcentagem 2 2" xfId="1399" xr:uid="{00000000-0005-0000-0000-000077050000}"/>
    <cellStyle name="Porcentagem 2 3" xfId="1400" xr:uid="{00000000-0005-0000-0000-000078050000}"/>
    <cellStyle name="Porcentagem 3" xfId="1401" xr:uid="{00000000-0005-0000-0000-000079050000}"/>
    <cellStyle name="Porcentagem 3 2" xfId="1402" xr:uid="{00000000-0005-0000-0000-00007A050000}"/>
    <cellStyle name="Porcentagem 4" xfId="1403" xr:uid="{00000000-0005-0000-0000-00007B050000}"/>
    <cellStyle name="Porcentagem 5" xfId="1404" xr:uid="{00000000-0005-0000-0000-00007C050000}"/>
    <cellStyle name="Porcentagem 6" xfId="1405" xr:uid="{00000000-0005-0000-0000-00007D050000}"/>
    <cellStyle name="PrePop Currency (0)" xfId="1406" xr:uid="{00000000-0005-0000-0000-00007E050000}"/>
    <cellStyle name="PrePop Currency (2)" xfId="1407" xr:uid="{00000000-0005-0000-0000-00007F050000}"/>
    <cellStyle name="PrePop Units (0)" xfId="1408" xr:uid="{00000000-0005-0000-0000-000080050000}"/>
    <cellStyle name="PrePop Units (1)" xfId="1409" xr:uid="{00000000-0005-0000-0000-000081050000}"/>
    <cellStyle name="PrePop Units (2)" xfId="1410" xr:uid="{00000000-0005-0000-0000-000082050000}"/>
    <cellStyle name="PresentationZero" xfId="1411" xr:uid="{00000000-0005-0000-0000-000083050000}"/>
    <cellStyle name="price" xfId="1412" xr:uid="{00000000-0005-0000-0000-000084050000}"/>
    <cellStyle name="pricing" xfId="1413" xr:uid="{00000000-0005-0000-0000-000085050000}"/>
    <cellStyle name="Private" xfId="1414" xr:uid="{00000000-0005-0000-0000-000086050000}"/>
    <cellStyle name="Private1" xfId="1415" xr:uid="{00000000-0005-0000-0000-000087050000}"/>
    <cellStyle name="Proj" xfId="1416" xr:uid="{00000000-0005-0000-0000-000088050000}"/>
    <cellStyle name="Protected" xfId="1417" xr:uid="{00000000-0005-0000-0000-000089050000}"/>
    <cellStyle name="PSChar" xfId="1418" xr:uid="{00000000-0005-0000-0000-00008A050000}"/>
    <cellStyle name="PSDate" xfId="1419" xr:uid="{00000000-0005-0000-0000-00008B050000}"/>
    <cellStyle name="PSDec" xfId="1420" xr:uid="{00000000-0005-0000-0000-00008C050000}"/>
    <cellStyle name="PSHeading" xfId="1421" xr:uid="{00000000-0005-0000-0000-00008D050000}"/>
    <cellStyle name="PSInt" xfId="1422" xr:uid="{00000000-0005-0000-0000-00008E050000}"/>
    <cellStyle name="PSSpacer" xfId="1423" xr:uid="{00000000-0005-0000-0000-00008F050000}"/>
    <cellStyle name="q" xfId="1424" xr:uid="{00000000-0005-0000-0000-000090050000}"/>
    <cellStyle name="q_AVP" xfId="1425" xr:uid="{00000000-0005-0000-0000-000091050000}"/>
    <cellStyle name="q_AVP_Graphic Depiction - NO DEV" xfId="1426" xr:uid="{00000000-0005-0000-0000-000092050000}"/>
    <cellStyle name="q_AVP_THEsumPage (2)" xfId="1427" xr:uid="{00000000-0005-0000-0000-000093050000}"/>
    <cellStyle name="q_AVP_Valuation Summary Graphics" xfId="1428" xr:uid="{00000000-0005-0000-0000-000094050000}"/>
    <cellStyle name="q_CompSheet" xfId="1429" xr:uid="{00000000-0005-0000-0000-000095050000}"/>
    <cellStyle name="q_Disc Analysis" xfId="1430" xr:uid="{00000000-0005-0000-0000-000096050000}"/>
    <cellStyle name="q_Disc Analysis_CompSheet" xfId="1431" xr:uid="{00000000-0005-0000-0000-000097050000}"/>
    <cellStyle name="q_Disc Analysis_Fairness Opinion Valuation 4-23a.xls Chart 1" xfId="1432" xr:uid="{00000000-0005-0000-0000-000098050000}"/>
    <cellStyle name="q_Disc Analysis_PowerValuation.xls Chart 21" xfId="1433" xr:uid="{00000000-0005-0000-0000-000099050000}"/>
    <cellStyle name="q_Disc Analysis_PowerValuation.xls Chart 28" xfId="1434" xr:uid="{00000000-0005-0000-0000-00009A050000}"/>
    <cellStyle name="q_Disc Analysis_THEsumPage (2)" xfId="1435" xr:uid="{00000000-0005-0000-0000-00009B050000}"/>
    <cellStyle name="q_Disc Analysis_Valuation summaries" xfId="1436" xr:uid="{00000000-0005-0000-0000-00009C050000}"/>
    <cellStyle name="q_Fairness Opinion Valuation 4-23a.xls Chart 1" xfId="1437" xr:uid="{00000000-0005-0000-0000-00009D050000}"/>
    <cellStyle name="q_Merg Cons" xfId="1438" xr:uid="{00000000-0005-0000-0000-00009E050000}"/>
    <cellStyle name="q_Merg Cons_CompSheet" xfId="1439" xr:uid="{00000000-0005-0000-0000-00009F050000}"/>
    <cellStyle name="q_Merg Cons_Fairness Opinion Valuation 4-23a.xls Chart 1" xfId="1440" xr:uid="{00000000-0005-0000-0000-0000A0050000}"/>
    <cellStyle name="q_Merg Cons_PowerValuation.xls Chart 21" xfId="1441" xr:uid="{00000000-0005-0000-0000-0000A1050000}"/>
    <cellStyle name="q_Merg Cons_PowerValuation.xls Chart 28" xfId="1442" xr:uid="{00000000-0005-0000-0000-0000A2050000}"/>
    <cellStyle name="q_Merg Cons_THEsumPage (2)" xfId="1443" xr:uid="{00000000-0005-0000-0000-0000A3050000}"/>
    <cellStyle name="q_Merg Cons_Valuation summaries" xfId="1444" xr:uid="{00000000-0005-0000-0000-0000A4050000}"/>
    <cellStyle name="q_PowerValuation.xls Chart 21" xfId="1445" xr:uid="{00000000-0005-0000-0000-0000A5050000}"/>
    <cellStyle name="q_PowerValuation.xls Chart 28" xfId="1446" xr:uid="{00000000-0005-0000-0000-0000A6050000}"/>
    <cellStyle name="q_Proj10" xfId="1447" xr:uid="{00000000-0005-0000-0000-0000A7050000}"/>
    <cellStyle name="q_Proj10_AVP" xfId="1448" xr:uid="{00000000-0005-0000-0000-0000A8050000}"/>
    <cellStyle name="q_Proj10_AVP_Graphic Depiction - NO DEV" xfId="1449" xr:uid="{00000000-0005-0000-0000-0000A9050000}"/>
    <cellStyle name="q_Proj10_AVP_THEsumPage (2)" xfId="1450" xr:uid="{00000000-0005-0000-0000-0000AA050000}"/>
    <cellStyle name="q_Proj10_AVP_Valuation Summary Graphics" xfId="1451" xr:uid="{00000000-0005-0000-0000-0000AB050000}"/>
    <cellStyle name="q_Proj10_CompSheet" xfId="1452" xr:uid="{00000000-0005-0000-0000-0000AC050000}"/>
    <cellStyle name="q_Proj10_Disc Analysis" xfId="1453" xr:uid="{00000000-0005-0000-0000-0000AD050000}"/>
    <cellStyle name="q_Proj10_Disc Analysis_CompSheet" xfId="1454" xr:uid="{00000000-0005-0000-0000-0000AE050000}"/>
    <cellStyle name="q_Proj10_Disc Analysis_Fairness Opinion Valuation 4-23a.xls Chart 1" xfId="1455" xr:uid="{00000000-0005-0000-0000-0000AF050000}"/>
    <cellStyle name="q_Proj10_Disc Analysis_PowerValuation.xls Chart 21" xfId="1456" xr:uid="{00000000-0005-0000-0000-0000B0050000}"/>
    <cellStyle name="q_Proj10_Disc Analysis_PowerValuation.xls Chart 28" xfId="1457" xr:uid="{00000000-0005-0000-0000-0000B1050000}"/>
    <cellStyle name="q_Proj10_Disc Analysis_THEsumPage (2)" xfId="1458" xr:uid="{00000000-0005-0000-0000-0000B2050000}"/>
    <cellStyle name="q_Proj10_Disc Analysis_Valuation summaries" xfId="1459" xr:uid="{00000000-0005-0000-0000-0000B3050000}"/>
    <cellStyle name="q_Proj10_Fairness Opinion Valuation 4-23a.xls Chart 1" xfId="1460" xr:uid="{00000000-0005-0000-0000-0000B4050000}"/>
    <cellStyle name="q_Proj10_Merg Cons" xfId="1461" xr:uid="{00000000-0005-0000-0000-0000B5050000}"/>
    <cellStyle name="q_Proj10_Merg Cons_CompSheet" xfId="1462" xr:uid="{00000000-0005-0000-0000-0000B6050000}"/>
    <cellStyle name="q_Proj10_Merg Cons_Fairness Opinion Valuation 4-23a.xls Chart 1" xfId="1463" xr:uid="{00000000-0005-0000-0000-0000B7050000}"/>
    <cellStyle name="q_Proj10_Merg Cons_PowerValuation.xls Chart 21" xfId="1464" xr:uid="{00000000-0005-0000-0000-0000B8050000}"/>
    <cellStyle name="q_Proj10_Merg Cons_PowerValuation.xls Chart 28" xfId="1465" xr:uid="{00000000-0005-0000-0000-0000B9050000}"/>
    <cellStyle name="q_Proj10_Merg Cons_THEsumPage (2)" xfId="1466" xr:uid="{00000000-0005-0000-0000-0000BA050000}"/>
    <cellStyle name="q_Proj10_Merg Cons_Valuation summaries" xfId="1467" xr:uid="{00000000-0005-0000-0000-0000BB050000}"/>
    <cellStyle name="q_Proj10_PowerValuation.xls Chart 21" xfId="1468" xr:uid="{00000000-0005-0000-0000-0000BC050000}"/>
    <cellStyle name="q_Proj10_PowerValuation.xls Chart 28" xfId="1469" xr:uid="{00000000-0005-0000-0000-0000BD050000}"/>
    <cellStyle name="q_Proj10_Sensitivity" xfId="1470" xr:uid="{00000000-0005-0000-0000-0000BE050000}"/>
    <cellStyle name="q_Proj10_Sensitivity_CompSheet" xfId="1471" xr:uid="{00000000-0005-0000-0000-0000BF050000}"/>
    <cellStyle name="q_Proj10_Sensitivity_Fairness Opinion Valuation 4-23a.xls Chart 1" xfId="1472" xr:uid="{00000000-0005-0000-0000-0000C0050000}"/>
    <cellStyle name="q_Proj10_Sensitivity_PowerValuation.xls Chart 21" xfId="1473" xr:uid="{00000000-0005-0000-0000-0000C1050000}"/>
    <cellStyle name="q_Proj10_Sensitivity_PowerValuation.xls Chart 28" xfId="1474" xr:uid="{00000000-0005-0000-0000-0000C2050000}"/>
    <cellStyle name="q_Proj10_Sensitivity_THEsumPage (2)" xfId="1475" xr:uid="{00000000-0005-0000-0000-0000C3050000}"/>
    <cellStyle name="q_Proj10_Sensitivity_Valuation summaries" xfId="1476" xr:uid="{00000000-0005-0000-0000-0000C4050000}"/>
    <cellStyle name="q_Proj10_show-hold" xfId="1477" xr:uid="{00000000-0005-0000-0000-0000C5050000}"/>
    <cellStyle name="q_Proj10_show-hold_Graphic Depiction - NO DEV" xfId="1478" xr:uid="{00000000-0005-0000-0000-0000C6050000}"/>
    <cellStyle name="q_Proj10_show-hold_THEsumPage (2)" xfId="1479" xr:uid="{00000000-0005-0000-0000-0000C7050000}"/>
    <cellStyle name="q_Proj10_show-hold_Valuation Summary Graphics" xfId="1480" xr:uid="{00000000-0005-0000-0000-0000C8050000}"/>
    <cellStyle name="q_Proj10_THEsumPage (2)" xfId="1481" xr:uid="{00000000-0005-0000-0000-0000C9050000}"/>
    <cellStyle name="q_Proj10_Valuation summaries" xfId="1482" xr:uid="{00000000-0005-0000-0000-0000CA050000}"/>
    <cellStyle name="q_Proj10_WACC-CableCar" xfId="1483" xr:uid="{00000000-0005-0000-0000-0000CB050000}"/>
    <cellStyle name="q_Proj10_WACC-CableCar_THEsumPage (2)" xfId="1484" xr:uid="{00000000-0005-0000-0000-0000CC050000}"/>
    <cellStyle name="q_Sensitivity" xfId="1485" xr:uid="{00000000-0005-0000-0000-0000CD050000}"/>
    <cellStyle name="q_Sensitivity_CompSheet" xfId="1486" xr:uid="{00000000-0005-0000-0000-0000CE050000}"/>
    <cellStyle name="q_Sensitivity_Fairness Opinion Valuation 4-23a.xls Chart 1" xfId="1487" xr:uid="{00000000-0005-0000-0000-0000CF050000}"/>
    <cellStyle name="q_Sensitivity_PowerValuation.xls Chart 21" xfId="1488" xr:uid="{00000000-0005-0000-0000-0000D0050000}"/>
    <cellStyle name="q_Sensitivity_PowerValuation.xls Chart 28" xfId="1489" xr:uid="{00000000-0005-0000-0000-0000D1050000}"/>
    <cellStyle name="q_Sensitivity_THEsumPage (2)" xfId="1490" xr:uid="{00000000-0005-0000-0000-0000D2050000}"/>
    <cellStyle name="q_Sensitivity_Valuation summaries" xfId="1491" xr:uid="{00000000-0005-0000-0000-0000D3050000}"/>
    <cellStyle name="q_show-hold" xfId="1492" xr:uid="{00000000-0005-0000-0000-0000D4050000}"/>
    <cellStyle name="q_show-hold_CompSheet" xfId="1493" xr:uid="{00000000-0005-0000-0000-0000D5050000}"/>
    <cellStyle name="q_show-hold_Fairness Opinion Valuation 4-23a.xls Chart 1" xfId="1494" xr:uid="{00000000-0005-0000-0000-0000D6050000}"/>
    <cellStyle name="q_show-hold_PowerValuation.xls Chart 21" xfId="1495" xr:uid="{00000000-0005-0000-0000-0000D7050000}"/>
    <cellStyle name="q_show-hold_PowerValuation.xls Chart 28" xfId="1496" xr:uid="{00000000-0005-0000-0000-0000D8050000}"/>
    <cellStyle name="q_show-hold_THEsumPage (2)" xfId="1497" xr:uid="{00000000-0005-0000-0000-0000D9050000}"/>
    <cellStyle name="q_show-hold_Valuation summaries" xfId="1498" xr:uid="{00000000-0005-0000-0000-0000DA050000}"/>
    <cellStyle name="q_THEsumPage (2)" xfId="1499" xr:uid="{00000000-0005-0000-0000-0000DB050000}"/>
    <cellStyle name="q_Valuation summaries" xfId="1500" xr:uid="{00000000-0005-0000-0000-0000DC050000}"/>
    <cellStyle name="q_WACC-CableCar" xfId="1501" xr:uid="{00000000-0005-0000-0000-0000DD050000}"/>
    <cellStyle name="q_WACC-CableCar_THEsumPage (2)" xfId="1502" xr:uid="{00000000-0005-0000-0000-0000DE050000}"/>
    <cellStyle name="QEPS-h" xfId="1503" xr:uid="{00000000-0005-0000-0000-0000DF050000}"/>
    <cellStyle name="QEPS-H1" xfId="1504" xr:uid="{00000000-0005-0000-0000-0000E0050000}"/>
    <cellStyle name="qRange" xfId="1505" xr:uid="{00000000-0005-0000-0000-0000E1050000}"/>
    <cellStyle name="Qté calculées" xfId="1506" xr:uid="{00000000-0005-0000-0000-0000E2050000}"/>
    <cellStyle name="QTé entrées" xfId="1507" xr:uid="{00000000-0005-0000-0000-0000E3050000}"/>
    <cellStyle name="r" xfId="1508" xr:uid="{00000000-0005-0000-0000-0000E4050000}"/>
    <cellStyle name="r_Dominion_One_Pager 05_28_02 v34" xfId="1509" xr:uid="{00000000-0005-0000-0000-0000E5050000}"/>
    <cellStyle name="r_EXC-PSEG PF v5" xfId="1510" xr:uid="{00000000-0005-0000-0000-0000E6050000}"/>
    <cellStyle name="r_Merger_PSEG_v9.2" xfId="1511" xr:uid="{00000000-0005-0000-0000-0000E7050000}"/>
    <cellStyle name="r_Merger_PSEG_v9.2_Exelon Power Fuel Forecast - Project P 6-11-2004 ver21" xfId="1512" xr:uid="{00000000-0005-0000-0000-0000E8050000}"/>
    <cellStyle name="r_Merger_PSEG_v9.2_ML Outputs" xfId="1513" xr:uid="{00000000-0005-0000-0000-0000E9050000}"/>
    <cellStyle name="r_Merger_PSEG_v9.2_Project Forest Pro Forma Model v58" xfId="1514" xr:uid="{00000000-0005-0000-0000-0000EA050000}"/>
    <cellStyle name="r_ML Outputs" xfId="1515" xr:uid="{00000000-0005-0000-0000-0000EB050000}"/>
    <cellStyle name="r_Model v9.8" xfId="1516" xr:uid="{00000000-0005-0000-0000-0000EC050000}"/>
    <cellStyle name="r_Modeling3" xfId="1517" xr:uid="{00000000-0005-0000-0000-0000ED050000}"/>
    <cellStyle name="r_Project Forest Pro Forma Model v58" xfId="1518" xr:uid="{00000000-0005-0000-0000-0000EE050000}"/>
    <cellStyle name="r_PSEG Consolidated Model ver 23" xfId="1519" xr:uid="{00000000-0005-0000-0000-0000EF050000}"/>
    <cellStyle name="range" xfId="1520" xr:uid="{00000000-0005-0000-0000-0000F0050000}"/>
    <cellStyle name="rate" xfId="1521" xr:uid="{00000000-0005-0000-0000-0000F1050000}"/>
    <cellStyle name="Ratio" xfId="1522" xr:uid="{00000000-0005-0000-0000-0000F2050000}"/>
    <cellStyle name="Ratio Comma" xfId="1523" xr:uid="{00000000-0005-0000-0000-0000F3050000}"/>
    <cellStyle name="Ratio_~1445599" xfId="1524" xr:uid="{00000000-0005-0000-0000-0000F4050000}"/>
    <cellStyle name="red" xfId="1525" xr:uid="{00000000-0005-0000-0000-0000F5050000}"/>
    <cellStyle name="Red font" xfId="1526" xr:uid="{00000000-0005-0000-0000-0000F6050000}"/>
    <cellStyle name="Renata" xfId="1527" xr:uid="{00000000-0005-0000-0000-0000F7050000}"/>
    <cellStyle name="Renata I" xfId="1528" xr:uid="{00000000-0005-0000-0000-0000F8050000}"/>
    <cellStyle name="Renata II" xfId="1529" xr:uid="{00000000-0005-0000-0000-0000F9050000}"/>
    <cellStyle name="Renata III" xfId="1530" xr:uid="{00000000-0005-0000-0000-0000FA050000}"/>
    <cellStyle name="RevList" xfId="1531" xr:uid="{00000000-0005-0000-0000-0000FB050000}"/>
    <cellStyle name="Right" xfId="1532" xr:uid="{00000000-0005-0000-0000-0000FC050000}"/>
    <cellStyle name="RISKbigPercent" xfId="1533" xr:uid="{00000000-0005-0000-0000-0000FD050000}"/>
    <cellStyle name="RISKblandrEdge" xfId="1534" xr:uid="{00000000-0005-0000-0000-0000FE050000}"/>
    <cellStyle name="RISKblCorner" xfId="1535" xr:uid="{00000000-0005-0000-0000-0000FF050000}"/>
    <cellStyle name="RISKbottomEdge" xfId="1536" xr:uid="{00000000-0005-0000-0000-000000060000}"/>
    <cellStyle name="RISKbrCorner" xfId="1537" xr:uid="{00000000-0005-0000-0000-000001060000}"/>
    <cellStyle name="RISKdarkBoxed" xfId="1538" xr:uid="{00000000-0005-0000-0000-000002060000}"/>
    <cellStyle name="RISKdarkShade" xfId="1539" xr:uid="{00000000-0005-0000-0000-000003060000}"/>
    <cellStyle name="RISKdbottomEdge" xfId="1540" xr:uid="{00000000-0005-0000-0000-000004060000}"/>
    <cellStyle name="RISKdrightEdge" xfId="1541" xr:uid="{00000000-0005-0000-0000-000005060000}"/>
    <cellStyle name="RISKdurationTime" xfId="1542" xr:uid="{00000000-0005-0000-0000-000006060000}"/>
    <cellStyle name="RISKinNumber" xfId="1543" xr:uid="{00000000-0005-0000-0000-000007060000}"/>
    <cellStyle name="RISKlandrEdge" xfId="1544" xr:uid="{00000000-0005-0000-0000-000008060000}"/>
    <cellStyle name="RISKleftEdge" xfId="1545" xr:uid="{00000000-0005-0000-0000-000009060000}"/>
    <cellStyle name="RISKlightBoxed" xfId="1546" xr:uid="{00000000-0005-0000-0000-00000A060000}"/>
    <cellStyle name="RISKltandbEdge" xfId="1547" xr:uid="{00000000-0005-0000-0000-00000B060000}"/>
    <cellStyle name="RISKnormBoxed" xfId="1548" xr:uid="{00000000-0005-0000-0000-00000C060000}"/>
    <cellStyle name="RISKnormCenter" xfId="1549" xr:uid="{00000000-0005-0000-0000-00000D060000}"/>
    <cellStyle name="RISKnormHeading" xfId="1550" xr:uid="{00000000-0005-0000-0000-00000E060000}"/>
    <cellStyle name="RISKnormItal" xfId="1551" xr:uid="{00000000-0005-0000-0000-00000F060000}"/>
    <cellStyle name="RISKnormLabel" xfId="1552" xr:uid="{00000000-0005-0000-0000-000010060000}"/>
    <cellStyle name="RISKnormShade" xfId="1553" xr:uid="{00000000-0005-0000-0000-000011060000}"/>
    <cellStyle name="RISKnormTitle" xfId="1554" xr:uid="{00000000-0005-0000-0000-000012060000}"/>
    <cellStyle name="RISKoutNumber" xfId="1555" xr:uid="{00000000-0005-0000-0000-000013060000}"/>
    <cellStyle name="RISKrightEdge" xfId="1556" xr:uid="{00000000-0005-0000-0000-000014060000}"/>
    <cellStyle name="RISKrtandbEdge" xfId="1557" xr:uid="{00000000-0005-0000-0000-000015060000}"/>
    <cellStyle name="RISKssTime" xfId="1558" xr:uid="{00000000-0005-0000-0000-000016060000}"/>
    <cellStyle name="RISKtandbEdge" xfId="1559" xr:uid="{00000000-0005-0000-0000-000017060000}"/>
    <cellStyle name="RISKtlandrEdge" xfId="1560" xr:uid="{00000000-0005-0000-0000-000018060000}"/>
    <cellStyle name="RISKtlCorner" xfId="1561" xr:uid="{00000000-0005-0000-0000-000019060000}"/>
    <cellStyle name="RISKtopEdge" xfId="1562" xr:uid="{00000000-0005-0000-0000-00001A060000}"/>
    <cellStyle name="RISKtrCorner" xfId="1563" xr:uid="{00000000-0005-0000-0000-00001B060000}"/>
    <cellStyle name="RM" xfId="1564" xr:uid="{00000000-0005-0000-0000-00001C060000}"/>
    <cellStyle name="Roadrunner" xfId="1565" xr:uid="{00000000-0005-0000-0000-00001D060000}"/>
    <cellStyle name="Row Headings" xfId="1566" xr:uid="{00000000-0005-0000-0000-00001E060000}"/>
    <cellStyle name="Salomon Logo" xfId="1567" xr:uid="{00000000-0005-0000-0000-00001F060000}"/>
    <cellStyle name="Section" xfId="1568" xr:uid="{00000000-0005-0000-0000-000020060000}"/>
    <cellStyle name="Sep. milhar [0]" xfId="1569" xr:uid="{00000000-0005-0000-0000-000021060000}"/>
    <cellStyle name="Separador de milhares 10" xfId="1570" xr:uid="{00000000-0005-0000-0000-000022060000}"/>
    <cellStyle name="Separador de milhares 11" xfId="1571" xr:uid="{00000000-0005-0000-0000-000023060000}"/>
    <cellStyle name="Separador de milhares 2" xfId="1572" xr:uid="{00000000-0005-0000-0000-000024060000}"/>
    <cellStyle name="Separador de milhares 2 2" xfId="1573" xr:uid="{00000000-0005-0000-0000-000025060000}"/>
    <cellStyle name="Separador de milhares 2 2 2" xfId="1574" xr:uid="{00000000-0005-0000-0000-000026060000}"/>
    <cellStyle name="Separador de milhares 2 3" xfId="1575" xr:uid="{00000000-0005-0000-0000-000027060000}"/>
    <cellStyle name="Separador de milhares 2 4" xfId="1576" xr:uid="{00000000-0005-0000-0000-000028060000}"/>
    <cellStyle name="Separador de milhares 3" xfId="1577" xr:uid="{00000000-0005-0000-0000-000029060000}"/>
    <cellStyle name="Separador de milhares 3 2" xfId="1578" xr:uid="{00000000-0005-0000-0000-00002A060000}"/>
    <cellStyle name="Separador de milhares 3 2 2" xfId="1579" xr:uid="{00000000-0005-0000-0000-00002B060000}"/>
    <cellStyle name="Separador de milhares 3 2 2 2" xfId="1580" xr:uid="{00000000-0005-0000-0000-00002C060000}"/>
    <cellStyle name="Separador de milhares 3 2 3" xfId="1581" xr:uid="{00000000-0005-0000-0000-00002D060000}"/>
    <cellStyle name="Separador de milhares 3 2 4" xfId="1582" xr:uid="{00000000-0005-0000-0000-00002E060000}"/>
    <cellStyle name="Separador de milhares 3 3" xfId="1583" xr:uid="{00000000-0005-0000-0000-00002F060000}"/>
    <cellStyle name="Separador de milhares 3 3 2" xfId="1584" xr:uid="{00000000-0005-0000-0000-000030060000}"/>
    <cellStyle name="Separador de milhares 3 4" xfId="1585" xr:uid="{00000000-0005-0000-0000-000031060000}"/>
    <cellStyle name="Separador de milhares 3 5" xfId="1586" xr:uid="{00000000-0005-0000-0000-000032060000}"/>
    <cellStyle name="Separador de milhares 4" xfId="1587" xr:uid="{00000000-0005-0000-0000-000033060000}"/>
    <cellStyle name="Separador de milhares 4 2" xfId="1588" xr:uid="{00000000-0005-0000-0000-000034060000}"/>
    <cellStyle name="Separador de milhares 4 2 2" xfId="1589" xr:uid="{00000000-0005-0000-0000-000035060000}"/>
    <cellStyle name="Separador de milhares 4 3" xfId="1590" xr:uid="{00000000-0005-0000-0000-000036060000}"/>
    <cellStyle name="Separador de milhares 4 4" xfId="1591" xr:uid="{00000000-0005-0000-0000-000037060000}"/>
    <cellStyle name="Separador de milhares 5" xfId="1592" xr:uid="{00000000-0005-0000-0000-000038060000}"/>
    <cellStyle name="Separador de milhares 5 2" xfId="1593" xr:uid="{00000000-0005-0000-0000-000039060000}"/>
    <cellStyle name="Separador de milhares 5 3" xfId="1594" xr:uid="{00000000-0005-0000-0000-00003A060000}"/>
    <cellStyle name="Separador de milhares 5 4" xfId="1595" xr:uid="{00000000-0005-0000-0000-00003B060000}"/>
    <cellStyle name="Separador de milhares 6" xfId="1596" xr:uid="{00000000-0005-0000-0000-00003C060000}"/>
    <cellStyle name="Separador de milhares 7" xfId="1597" xr:uid="{00000000-0005-0000-0000-00003D060000}"/>
    <cellStyle name="Separador de milhares 8" xfId="1598" xr:uid="{00000000-0005-0000-0000-00003E060000}"/>
    <cellStyle name="Separador de milhares 8 2" xfId="1599" xr:uid="{00000000-0005-0000-0000-00003F060000}"/>
    <cellStyle name="Separador de milhares 9" xfId="1600" xr:uid="{00000000-0005-0000-0000-000040060000}"/>
    <cellStyle name="Separador de milhares_SLC Model_IFC Appraisal - Julho07" xfId="1601" xr:uid="{00000000-0005-0000-0000-000041060000}"/>
    <cellStyle name="Shaded" xfId="1602" xr:uid="{00000000-0005-0000-0000-000042060000}"/>
    <cellStyle name="Shaded Header" xfId="1603" xr:uid="{00000000-0005-0000-0000-000043060000}"/>
    <cellStyle name="Shares" xfId="1604" xr:uid="{00000000-0005-0000-0000-000044060000}"/>
    <cellStyle name="Sheet Name" xfId="1605" xr:uid="{00000000-0005-0000-0000-000045060000}"/>
    <cellStyle name="ssubtitulo" xfId="1606" xr:uid="{00000000-0005-0000-0000-000046060000}"/>
    <cellStyle name="Standard_Anpassen der Amortisation" xfId="1607" xr:uid="{00000000-0005-0000-0000-000047060000}"/>
    <cellStyle name="Stein-Blue" xfId="1608" xr:uid="{00000000-0005-0000-0000-000048060000}"/>
    <cellStyle name="Stein-Header" xfId="1609" xr:uid="{00000000-0005-0000-0000-000049060000}"/>
    <cellStyle name="Stock Comma" xfId="1610" xr:uid="{00000000-0005-0000-0000-00004A060000}"/>
    <cellStyle name="Stock Price" xfId="1611" xr:uid="{00000000-0005-0000-0000-00004B060000}"/>
    <cellStyle name="Strange" xfId="1612" xr:uid="{00000000-0005-0000-0000-00004C060000}"/>
    <cellStyle name="STYL1 - Style1" xfId="1613" xr:uid="{00000000-0005-0000-0000-00004D060000}"/>
    <cellStyle name="Style 21" xfId="1614" xr:uid="{00000000-0005-0000-0000-00004E060000}"/>
    <cellStyle name="Style 41" xfId="1615" xr:uid="{00000000-0005-0000-0000-00004F060000}"/>
    <cellStyle name="Style 42" xfId="1616" xr:uid="{00000000-0005-0000-0000-000050060000}"/>
    <cellStyle name="Style 43" xfId="1617" xr:uid="{00000000-0005-0000-0000-000051060000}"/>
    <cellStyle name="Style 44" xfId="1618" xr:uid="{00000000-0005-0000-0000-000052060000}"/>
    <cellStyle name="Style 45" xfId="1619" xr:uid="{00000000-0005-0000-0000-000053060000}"/>
    <cellStyle name="Style 46" xfId="1620" xr:uid="{00000000-0005-0000-0000-000054060000}"/>
    <cellStyle name="Style 47" xfId="1621" xr:uid="{00000000-0005-0000-0000-000055060000}"/>
    <cellStyle name="Style 48" xfId="1622" xr:uid="{00000000-0005-0000-0000-000056060000}"/>
    <cellStyle name="Style 49" xfId="1623" xr:uid="{00000000-0005-0000-0000-000057060000}"/>
    <cellStyle name="Style 50" xfId="1624" xr:uid="{00000000-0005-0000-0000-000058060000}"/>
    <cellStyle name="Style 56" xfId="1625" xr:uid="{00000000-0005-0000-0000-000059060000}"/>
    <cellStyle name="Style 57" xfId="1626" xr:uid="{00000000-0005-0000-0000-00005A060000}"/>
    <cellStyle name="Style 58" xfId="1627" xr:uid="{00000000-0005-0000-0000-00005B060000}"/>
    <cellStyle name="Style 59" xfId="1628" xr:uid="{00000000-0005-0000-0000-00005C060000}"/>
    <cellStyle name="Style 60" xfId="1629" xr:uid="{00000000-0005-0000-0000-00005D060000}"/>
    <cellStyle name="Style 61" xfId="1630" xr:uid="{00000000-0005-0000-0000-00005E060000}"/>
    <cellStyle name="Style 62" xfId="1631" xr:uid="{00000000-0005-0000-0000-00005F060000}"/>
    <cellStyle name="Style 63" xfId="1632" xr:uid="{00000000-0005-0000-0000-000060060000}"/>
    <cellStyle name="Style 64" xfId="1633" xr:uid="{00000000-0005-0000-0000-000061060000}"/>
    <cellStyle name="Style 65" xfId="1634" xr:uid="{00000000-0005-0000-0000-000062060000}"/>
    <cellStyle name="STYLE1 - Style1" xfId="1635" xr:uid="{00000000-0005-0000-0000-000063060000}"/>
    <cellStyle name="STYLE2 - Style2" xfId="1636" xr:uid="{00000000-0005-0000-0000-000064060000}"/>
    <cellStyle name="STYLE3 - Style3" xfId="1637" xr:uid="{00000000-0005-0000-0000-000065060000}"/>
    <cellStyle name="STYLE4 - Style4" xfId="1638" xr:uid="{00000000-0005-0000-0000-000066060000}"/>
    <cellStyle name="SubTitle" xfId="1639" xr:uid="{00000000-0005-0000-0000-000067060000}"/>
    <cellStyle name="subtitulo" xfId="1640" xr:uid="{00000000-0005-0000-0000-000068060000}"/>
    <cellStyle name="Sub-Título" xfId="1641" xr:uid="{00000000-0005-0000-0000-000069060000}"/>
    <cellStyle name="SubTotal" xfId="1642" xr:uid="{00000000-0005-0000-0000-00006A060000}"/>
    <cellStyle name="Summary" xfId="1643" xr:uid="{00000000-0005-0000-0000-00006B060000}"/>
    <cellStyle name="Table Col Head" xfId="1644" xr:uid="{00000000-0005-0000-0000-00006C060000}"/>
    <cellStyle name="Table Head" xfId="1645" xr:uid="{00000000-0005-0000-0000-00006D060000}"/>
    <cellStyle name="Table Head Aligned" xfId="1646" xr:uid="{00000000-0005-0000-0000-00006E060000}"/>
    <cellStyle name="Table Head Blue" xfId="1647" xr:uid="{00000000-0005-0000-0000-00006F060000}"/>
    <cellStyle name="Table Head Green" xfId="1648" xr:uid="{00000000-0005-0000-0000-000070060000}"/>
    <cellStyle name="Table Head_Val_Sum_Graph" xfId="1649" xr:uid="{00000000-0005-0000-0000-000071060000}"/>
    <cellStyle name="Table Heading" xfId="1650" xr:uid="{00000000-0005-0000-0000-000072060000}"/>
    <cellStyle name="Table Sub Head" xfId="1651" xr:uid="{00000000-0005-0000-0000-000073060000}"/>
    <cellStyle name="Table Text" xfId="1652" xr:uid="{00000000-0005-0000-0000-000074060000}"/>
    <cellStyle name="Table Title" xfId="1653" xr:uid="{00000000-0005-0000-0000-000075060000}"/>
    <cellStyle name="Table Units" xfId="1654" xr:uid="{00000000-0005-0000-0000-000076060000}"/>
    <cellStyle name="Table_Header" xfId="1655" xr:uid="{00000000-0005-0000-0000-000077060000}"/>
    <cellStyle name="TableBase" xfId="1656" xr:uid="{00000000-0005-0000-0000-000078060000}"/>
    <cellStyle name="TableHead" xfId="1657" xr:uid="{00000000-0005-0000-0000-000079060000}"/>
    <cellStyle name="Tag" xfId="1658" xr:uid="{00000000-0005-0000-0000-00007A060000}"/>
    <cellStyle name="taples Plaza" xfId="1659" xr:uid="{00000000-0005-0000-0000-00007B060000}"/>
    <cellStyle name="tcn" xfId="1660" xr:uid="{00000000-0005-0000-0000-00007C060000}"/>
    <cellStyle name="Test" xfId="1661" xr:uid="{00000000-0005-0000-0000-00007D060000}"/>
    <cellStyle name="Test [green]" xfId="1662" xr:uid="{00000000-0005-0000-0000-00007E060000}"/>
    <cellStyle name="TESTE" xfId="1663" xr:uid="{00000000-0005-0000-0000-00007F060000}"/>
    <cellStyle name="Text" xfId="1664" xr:uid="{00000000-0005-0000-0000-000080060000}"/>
    <cellStyle name="Text 1" xfId="1665" xr:uid="{00000000-0005-0000-0000-000081060000}"/>
    <cellStyle name="Text Head" xfId="1666" xr:uid="{00000000-0005-0000-0000-000082060000}"/>
    <cellStyle name="Text Head 1" xfId="1667" xr:uid="{00000000-0005-0000-0000-000083060000}"/>
    <cellStyle name="Text Indent A" xfId="1668" xr:uid="{00000000-0005-0000-0000-000084060000}"/>
    <cellStyle name="Text Indent B" xfId="1669" xr:uid="{00000000-0005-0000-0000-000085060000}"/>
    <cellStyle name="Text Indent C" xfId="1670" xr:uid="{00000000-0005-0000-0000-000086060000}"/>
    <cellStyle name="Text_EXC-PSEG PF v5" xfId="1671" xr:uid="{00000000-0005-0000-0000-000087060000}"/>
    <cellStyle name="TextData" xfId="1672" xr:uid="{00000000-0005-0000-0000-000088060000}"/>
    <cellStyle name="TextDataFlag" xfId="1673" xr:uid="{00000000-0005-0000-0000-000089060000}"/>
    <cellStyle name="TextDataLong" xfId="1674" xr:uid="{00000000-0005-0000-0000-00008A060000}"/>
    <cellStyle name="TFCF" xfId="1675" xr:uid="{00000000-0005-0000-0000-00008B060000}"/>
    <cellStyle name="thenums" xfId="1676" xr:uid="{00000000-0005-0000-0000-00008C060000}"/>
    <cellStyle name="Time" xfId="1677" xr:uid="{00000000-0005-0000-0000-00008D060000}"/>
    <cellStyle name="Times" xfId="1678" xr:uid="{00000000-0005-0000-0000-00008E060000}"/>
    <cellStyle name="Times New Roman" xfId="1679" xr:uid="{00000000-0005-0000-0000-00008F060000}"/>
    <cellStyle name="Title" xfId="1680" xr:uid="{00000000-0005-0000-0000-000090060000}"/>
    <cellStyle name="Title - PROJECT" xfId="1681" xr:uid="{00000000-0005-0000-0000-000091060000}"/>
    <cellStyle name="Title - Underline" xfId="1682" xr:uid="{00000000-0005-0000-0000-000092060000}"/>
    <cellStyle name="Title_Ampla - FO.V1.5Betaxls" xfId="1683" xr:uid="{00000000-0005-0000-0000-000093060000}"/>
    <cellStyle name="title1" xfId="1684" xr:uid="{00000000-0005-0000-0000-000094060000}"/>
    <cellStyle name="title2" xfId="1685" xr:uid="{00000000-0005-0000-0000-000095060000}"/>
    <cellStyle name="Title8" xfId="1686" xr:uid="{00000000-0005-0000-0000-000096060000}"/>
    <cellStyle name="TitleII" xfId="1687" xr:uid="{00000000-0005-0000-0000-000097060000}"/>
    <cellStyle name="Titles" xfId="1688" xr:uid="{00000000-0005-0000-0000-000098060000}"/>
    <cellStyle name="Titles - Col. Headings" xfId="1689" xr:uid="{00000000-0005-0000-0000-000099060000}"/>
    <cellStyle name="Titles - Other" xfId="1690" xr:uid="{00000000-0005-0000-0000-00009A060000}"/>
    <cellStyle name="TitleVertical" xfId="1691" xr:uid="{00000000-0005-0000-0000-00009B060000}"/>
    <cellStyle name="titulo" xfId="1692" xr:uid="{00000000-0005-0000-0000-00009C060000}"/>
    <cellStyle name="titulomov" xfId="1693" xr:uid="{00000000-0005-0000-0000-00009D060000}"/>
    <cellStyle name="tn" xfId="1694" xr:uid="{00000000-0005-0000-0000-00009E060000}"/>
    <cellStyle name="Todos" xfId="1695" xr:uid="{00000000-0005-0000-0000-00009F060000}"/>
    <cellStyle name="Top Edge" xfId="1696" xr:uid="{00000000-0005-0000-0000-0000A0060000}"/>
    <cellStyle name="topline" xfId="1697" xr:uid="{00000000-0005-0000-0000-0000A1060000}"/>
    <cellStyle name="totalbalan" xfId="1698" xr:uid="{00000000-0005-0000-0000-0000A2060000}"/>
    <cellStyle name="TotalCurrency" xfId="1699" xr:uid="{00000000-0005-0000-0000-0000A3060000}"/>
    <cellStyle name="typeset" xfId="1700" xr:uid="{00000000-0005-0000-0000-0000A4060000}"/>
    <cellStyle name="ubordinated Debt" xfId="1701" xr:uid="{00000000-0005-0000-0000-0000A5060000}"/>
    <cellStyle name="uk" xfId="1702" xr:uid="{00000000-0005-0000-0000-0000A6060000}"/>
    <cellStyle name="Un" xfId="1703" xr:uid="{00000000-0005-0000-0000-0000A7060000}"/>
    <cellStyle name="Underline_Single" xfId="1704" xr:uid="{00000000-0005-0000-0000-0000A8060000}"/>
    <cellStyle name="UNLocked" xfId="1705" xr:uid="{00000000-0005-0000-0000-0000A9060000}"/>
    <cellStyle name="Unprot" xfId="1706" xr:uid="{00000000-0005-0000-0000-0000AA060000}"/>
    <cellStyle name="Unprot$" xfId="1707" xr:uid="{00000000-0005-0000-0000-0000AB060000}"/>
    <cellStyle name="Unprot_BLM_06_08_00 - mm-verma" xfId="1708" xr:uid="{00000000-0005-0000-0000-0000AC060000}"/>
    <cellStyle name="Unprotect" xfId="1709" xr:uid="{00000000-0005-0000-0000-0000AD060000}"/>
    <cellStyle name="User Entered" xfId="1710" xr:uid="{00000000-0005-0000-0000-0000AE060000}"/>
    <cellStyle name="Valuta (0)_1320 NX" xfId="1711" xr:uid="{00000000-0005-0000-0000-0000AF060000}"/>
    <cellStyle name="Valuta_1320 NX" xfId="1712" xr:uid="{00000000-0005-0000-0000-0000B0060000}"/>
    <cellStyle name="Vírgula" xfId="1713" builtinId="3"/>
    <cellStyle name="Virgule fixe" xfId="1714" xr:uid="{00000000-0005-0000-0000-0000B2060000}"/>
    <cellStyle name="Währung [0]_Compiling Utility Macros" xfId="1715" xr:uid="{00000000-0005-0000-0000-0000B3060000}"/>
    <cellStyle name="Währung_Compiling Utility Macros" xfId="1716" xr:uid="{00000000-0005-0000-0000-0000B4060000}"/>
    <cellStyle name="White" xfId="1717" xr:uid="{00000000-0005-0000-0000-0000B5060000}"/>
    <cellStyle name="WhitePattern" xfId="1718" xr:uid="{00000000-0005-0000-0000-0000B6060000}"/>
    <cellStyle name="WhitePattern1" xfId="1719" xr:uid="{00000000-0005-0000-0000-0000B7060000}"/>
    <cellStyle name="WhiteText" xfId="1720" xr:uid="{00000000-0005-0000-0000-0000B8060000}"/>
    <cellStyle name="WholeNumber" xfId="1721" xr:uid="{00000000-0005-0000-0000-0000B9060000}"/>
    <cellStyle name="WrappedBold" xfId="1722" xr:uid="{00000000-0005-0000-0000-0000BA060000}"/>
    <cellStyle name="x" xfId="1723" xr:uid="{00000000-0005-0000-0000-0000BB060000}"/>
    <cellStyle name="x_FPL acc.dil v8" xfId="1724" xr:uid="{00000000-0005-0000-0000-0000BC060000}"/>
    <cellStyle name="x_Papaya_Elektro_v04" xfId="1725" xr:uid="{00000000-0005-0000-0000-0000BD060000}"/>
    <cellStyle name="x_school specialty v7" xfId="1726" xr:uid="{00000000-0005-0000-0000-0000BE060000}"/>
    <cellStyle name="x_WACC Papaya_v02" xfId="1727" xr:uid="{00000000-0005-0000-0000-0000BF060000}"/>
    <cellStyle name="x2" xfId="1728" xr:uid="{00000000-0005-0000-0000-0000C0060000}"/>
    <cellStyle name="Y JY" xfId="1729" xr:uid="{00000000-0005-0000-0000-0000C1060000}"/>
    <cellStyle name="Year" xfId="1730" xr:uid="{00000000-0005-0000-0000-0000C2060000}"/>
    <cellStyle name="yellow" xfId="1731" xr:uid="{00000000-0005-0000-0000-0000C3060000}"/>
    <cellStyle name="Yen" xfId="1732" xr:uid="{00000000-0005-0000-0000-0000C406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593D"/>
      <rgbColor rgb="00FFFFFF"/>
      <rgbColor rgb="00D1F7B7"/>
      <rgbColor rgb="0000FF00"/>
      <rgbColor rgb="000000FA"/>
      <rgbColor rgb="00FFFF00"/>
      <rgbColor rgb="00C4D6EC"/>
      <rgbColor rgb="0000FFFF"/>
      <rgbColor rgb="00FBD5C9"/>
      <rgbColor rgb="00007B00"/>
      <rgbColor rgb="00000080"/>
      <rgbColor rgb="00808000"/>
      <rgbColor rgb="00000002"/>
      <rgbColor rgb="00FFFFFF"/>
      <rgbColor rgb="00000005"/>
      <rgbColor rgb="00969696"/>
      <rgbColor rgb="00F4B720"/>
      <rgbColor rgb="0027915F"/>
      <rgbColor rgb="0080D4E8"/>
      <rgbColor rgb="00F2673C"/>
      <rgbColor rgb="0072E873"/>
      <rgbColor rgb="000083C3"/>
      <rgbColor rgb="00FF81B1"/>
      <rgbColor rgb="00A4374A"/>
      <rgbColor rgb="00969696"/>
      <rgbColor rgb="0099BADD"/>
      <rgbColor rgb="00E0F878"/>
      <rgbColor rgb="00A97F3B"/>
      <rgbColor rgb="001600F5"/>
      <rgbColor rgb="00FFF9D7"/>
      <rgbColor rgb="00CBEDF5"/>
      <rgbColor rgb="00D4ECD7"/>
      <rgbColor rgb="0000F6F6"/>
      <rgbColor rgb="00FF93FF"/>
      <rgbColor rgb="0000FF00"/>
      <rgbColor rgb="00FFBA75"/>
      <rgbColor rgb="008F21FF"/>
      <rgbColor rgb="007F7F7F"/>
      <rgbColor rgb="00FF0000"/>
      <rgbColor rgb="00000000"/>
      <rgbColor rgb="00FAE34C"/>
      <rgbColor rgb="00ACEAC1"/>
      <rgbColor rgb="00CBEDF5"/>
      <rgbColor rgb="00FBD5C9"/>
      <rgbColor rgb="00D1F7B7"/>
      <rgbColor rgb="008FDAFF"/>
      <rgbColor rgb="00FFC8C1"/>
      <rgbColor rgb="00E193B1"/>
      <rgbColor rgb="00D9D9D9"/>
      <rgbColor rgb="00C4D7EC"/>
      <rgbColor rgb="00EFFBBB"/>
      <rgbColor rgb="00CCA76A"/>
      <rgbColor rgb="00993300"/>
      <rgbColor rgb="00993366"/>
      <rgbColor rgb="00333399"/>
      <rgbColor rgb="00333333"/>
    </indexed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1.xml"/><Relationship Id="rId18" Type="http://schemas.openxmlformats.org/officeDocument/2006/relationships/externalLink" Target="externalLinks/externalLink6.xml"/><Relationship Id="rId26" Type="http://schemas.openxmlformats.org/officeDocument/2006/relationships/externalLink" Target="externalLinks/externalLink14.xml"/><Relationship Id="rId39" Type="http://schemas.openxmlformats.org/officeDocument/2006/relationships/customXml" Target="../customXml/item2.xml"/><Relationship Id="rId21" Type="http://schemas.openxmlformats.org/officeDocument/2006/relationships/externalLink" Target="externalLinks/externalLink9.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5.xml"/><Relationship Id="rId25" Type="http://schemas.openxmlformats.org/officeDocument/2006/relationships/externalLink" Target="externalLinks/externalLink13.xml"/><Relationship Id="rId33" Type="http://schemas.openxmlformats.org/officeDocument/2006/relationships/theme" Target="theme/theme1.xml"/><Relationship Id="rId38"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externalLink" Target="externalLinks/externalLink4.xml"/><Relationship Id="rId20" Type="http://schemas.openxmlformats.org/officeDocument/2006/relationships/externalLink" Target="externalLinks/externalLink8.xml"/><Relationship Id="rId29" Type="http://schemas.openxmlformats.org/officeDocument/2006/relationships/externalLink" Target="externalLinks/externalLink17.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2.xml"/><Relationship Id="rId32" Type="http://schemas.openxmlformats.org/officeDocument/2006/relationships/externalLink" Target="externalLinks/externalLink20.xml"/><Relationship Id="rId37" Type="http://schemas.openxmlformats.org/officeDocument/2006/relationships/calcChain" Target="calcChain.xml"/><Relationship Id="rId40"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externalLink" Target="externalLinks/externalLink3.xml"/><Relationship Id="rId23" Type="http://schemas.openxmlformats.org/officeDocument/2006/relationships/externalLink" Target="externalLinks/externalLink11.xml"/><Relationship Id="rId28" Type="http://schemas.openxmlformats.org/officeDocument/2006/relationships/externalLink" Target="externalLinks/externalLink16.xml"/><Relationship Id="rId36" Type="http://schemas.microsoft.com/office/2017/10/relationships/person" Target="persons/person.xml"/><Relationship Id="rId10" Type="http://schemas.openxmlformats.org/officeDocument/2006/relationships/worksheet" Target="worksheets/sheet10.xml"/><Relationship Id="rId19" Type="http://schemas.openxmlformats.org/officeDocument/2006/relationships/externalLink" Target="externalLinks/externalLink7.xml"/><Relationship Id="rId31" Type="http://schemas.openxmlformats.org/officeDocument/2006/relationships/externalLink" Target="externalLinks/externalLink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 Id="rId22" Type="http://schemas.openxmlformats.org/officeDocument/2006/relationships/externalLink" Target="externalLinks/externalLink10.xml"/><Relationship Id="rId27" Type="http://schemas.openxmlformats.org/officeDocument/2006/relationships/externalLink" Target="externalLinks/externalLink15.xml"/><Relationship Id="rId30" Type="http://schemas.openxmlformats.org/officeDocument/2006/relationships/externalLink" Target="externalLinks/externalLink18.xml"/><Relationship Id="rId35"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8" Type="http://schemas.openxmlformats.org/officeDocument/2006/relationships/hyperlink" Target="#Indicators!A1"/><Relationship Id="rId3" Type="http://schemas.openxmlformats.org/officeDocument/2006/relationships/hyperlink" Target="#WC!A1"/><Relationship Id="rId7" Type="http://schemas.openxmlformats.org/officeDocument/2006/relationships/hyperlink" Target="#Valuation!A1"/><Relationship Id="rId2" Type="http://schemas.openxmlformats.org/officeDocument/2006/relationships/hyperlink" Target="#Assumptions!A1"/><Relationship Id="rId1" Type="http://schemas.openxmlformats.org/officeDocument/2006/relationships/image" Target="../media/image1.jpg"/><Relationship Id="rId6" Type="http://schemas.openxmlformats.org/officeDocument/2006/relationships/hyperlink" Target="#BS!A1"/><Relationship Id="rId5" Type="http://schemas.openxmlformats.org/officeDocument/2006/relationships/hyperlink" Target="#NOPAT!A1"/><Relationship Id="rId4" Type="http://schemas.openxmlformats.org/officeDocument/2006/relationships/hyperlink" Target="#IS!A1"/></Relationships>
</file>

<file path=xl/drawings/_rels/drawing10.xml.rels><?xml version="1.0" encoding="UTF-8" standalone="yes"?>
<Relationships xmlns="http://schemas.openxmlformats.org/package/2006/relationships"><Relationship Id="rId1" Type="http://schemas.openxmlformats.org/officeDocument/2006/relationships/hyperlink" Target="#Dashboard!A1"/></Relationships>
</file>

<file path=xl/drawings/_rels/drawing11.xml.rels><?xml version="1.0" encoding="UTF-8" standalone="yes"?>
<Relationships xmlns="http://schemas.openxmlformats.org/package/2006/relationships"><Relationship Id="rId2" Type="http://schemas.openxmlformats.org/officeDocument/2006/relationships/hyperlink" Target="#Dashboard!A1"/><Relationship Id="rId1" Type="http://schemas.openxmlformats.org/officeDocument/2006/relationships/image" Target="../media/image2.png"/></Relationships>
</file>

<file path=xl/drawings/_rels/drawing12.xml.rels><?xml version="1.0" encoding="UTF-8" standalone="yes"?>
<Relationships xmlns="http://schemas.openxmlformats.org/package/2006/relationships"><Relationship Id="rId1" Type="http://schemas.openxmlformats.org/officeDocument/2006/relationships/hyperlink" Target="#Dashboard!A1"/></Relationships>
</file>

<file path=xl/drawings/_rels/drawing2.xml.rels><?xml version="1.0" encoding="UTF-8" standalone="yes"?>
<Relationships xmlns="http://schemas.openxmlformats.org/package/2006/relationships"><Relationship Id="rId3" Type="http://schemas.openxmlformats.org/officeDocument/2006/relationships/hyperlink" Target="#'Land Sales and Purchase'!A1"/><Relationship Id="rId2" Type="http://schemas.openxmlformats.org/officeDocument/2006/relationships/image" Target="../media/image2.png"/><Relationship Id="rId1" Type="http://schemas.openxmlformats.org/officeDocument/2006/relationships/hyperlink" Target="#Dashboard!A1"/></Relationships>
</file>

<file path=xl/drawings/_rels/drawing3.xml.rels><?xml version="1.0" encoding="UTF-8" standalone="yes"?>
<Relationships xmlns="http://schemas.openxmlformats.org/package/2006/relationships"><Relationship Id="rId2" Type="http://schemas.openxmlformats.org/officeDocument/2006/relationships/hyperlink" Target="#Assumptions!A1"/><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2" Type="http://schemas.openxmlformats.org/officeDocument/2006/relationships/hyperlink" Target="#Dashboard!A1"/><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2" Type="http://schemas.openxmlformats.org/officeDocument/2006/relationships/hyperlink" Target="#Dashboard!A1"/><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2" Type="http://schemas.openxmlformats.org/officeDocument/2006/relationships/hyperlink" Target="#Dashboard!A1"/><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2" Type="http://schemas.openxmlformats.org/officeDocument/2006/relationships/hyperlink" Target="#Dashboard!A1"/><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2" Type="http://schemas.openxmlformats.org/officeDocument/2006/relationships/hyperlink" Target="#Dashboard!A1"/><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2" Type="http://schemas.openxmlformats.org/officeDocument/2006/relationships/hyperlink" Target="#Dashboard!A1"/><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8</xdr:col>
      <xdr:colOff>347662</xdr:colOff>
      <xdr:row>0</xdr:row>
      <xdr:rowOff>0</xdr:rowOff>
    </xdr:from>
    <xdr:to>
      <xdr:col>26</xdr:col>
      <xdr:colOff>0</xdr:colOff>
      <xdr:row>41</xdr:row>
      <xdr:rowOff>0</xdr:rowOff>
    </xdr:to>
    <xdr:pic>
      <xdr:nvPicPr>
        <xdr:cNvPr id="4" name="Imagem 3">
          <a:extLst>
            <a:ext uri="{FF2B5EF4-FFF2-40B4-BE49-F238E27FC236}">
              <a16:creationId xmlns:a16="http://schemas.microsoft.com/office/drawing/2014/main" id="{42981C7A-7B7B-4F60-A540-1D1661497D1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flipV="1">
          <a:off x="5384006" y="0"/>
          <a:ext cx="10058400" cy="5703094"/>
        </a:xfrm>
        <a:prstGeom prst="rect">
          <a:avLst/>
        </a:prstGeom>
      </xdr:spPr>
    </xdr:pic>
    <xdr:clientData/>
  </xdr:twoCellAnchor>
  <xdr:twoCellAnchor>
    <xdr:from>
      <xdr:col>0</xdr:col>
      <xdr:colOff>355946</xdr:colOff>
      <xdr:row>6</xdr:row>
      <xdr:rowOff>56219</xdr:rowOff>
    </xdr:from>
    <xdr:to>
      <xdr:col>2</xdr:col>
      <xdr:colOff>500062</xdr:colOff>
      <xdr:row>9</xdr:row>
      <xdr:rowOff>8754</xdr:rowOff>
    </xdr:to>
    <xdr:sp macro="" textlink="">
      <xdr:nvSpPr>
        <xdr:cNvPr id="10244" name="Rectangle 4">
          <a:hlinkClick xmlns:r="http://schemas.openxmlformats.org/officeDocument/2006/relationships" r:id="rId2"/>
          <a:extLst>
            <a:ext uri="{FF2B5EF4-FFF2-40B4-BE49-F238E27FC236}">
              <a16:creationId xmlns:a16="http://schemas.microsoft.com/office/drawing/2014/main" id="{820A1DC5-88D5-4A3B-9A77-EC486CC51E87}"/>
            </a:ext>
          </a:extLst>
        </xdr:cNvPr>
        <xdr:cNvSpPr>
          <a:spLocks noChangeArrowheads="1"/>
        </xdr:cNvSpPr>
      </xdr:nvSpPr>
      <xdr:spPr bwMode="auto">
        <a:xfrm>
          <a:off x="355946" y="1735000"/>
          <a:ext cx="1358554" cy="452598"/>
        </a:xfrm>
        <a:prstGeom prst="rect">
          <a:avLst/>
        </a:prstGeom>
        <a:solidFill>
          <a:srgbClr val="00593D"/>
        </a:solidFill>
        <a:ln w="19050">
          <a:solidFill>
            <a:srgbClr val="FFFFFF"/>
          </a:solidFill>
          <a:miter lim="800000"/>
          <a:headEnd/>
          <a:tailEnd/>
        </a:ln>
      </xdr:spPr>
      <xdr:txBody>
        <a:bodyPr vertOverflow="clip" wrap="square" lIns="27432" tIns="18288" rIns="27432" bIns="0" anchor="t" upright="1"/>
        <a:lstStyle/>
        <a:p>
          <a:pPr algn="ctr" rtl="1">
            <a:defRPr sz="1000"/>
          </a:pPr>
          <a:endParaRPr lang="pt-BR" sz="600" b="1" i="0" strike="noStrike">
            <a:solidFill>
              <a:srgbClr val="FFFFFF"/>
            </a:solidFill>
            <a:latin typeface="Arial"/>
            <a:cs typeface="Arial"/>
          </a:endParaRPr>
        </a:p>
        <a:p>
          <a:pPr algn="ctr" rtl="1">
            <a:defRPr sz="1000"/>
          </a:pPr>
          <a:r>
            <a:rPr lang="pt-BR" sz="1200" b="1" i="0" strike="noStrike">
              <a:solidFill>
                <a:srgbClr val="FFFFFF"/>
              </a:solidFill>
              <a:latin typeface="Arial"/>
              <a:cs typeface="Arial"/>
            </a:rPr>
            <a:t>Assumptions</a:t>
          </a:r>
        </a:p>
      </xdr:txBody>
    </xdr:sp>
    <xdr:clientData/>
  </xdr:twoCellAnchor>
  <xdr:twoCellAnchor>
    <xdr:from>
      <xdr:col>2</xdr:col>
      <xdr:colOff>564355</xdr:colOff>
      <xdr:row>9</xdr:row>
      <xdr:rowOff>58599</xdr:rowOff>
    </xdr:from>
    <xdr:to>
      <xdr:col>5</xdr:col>
      <xdr:colOff>95250</xdr:colOff>
      <xdr:row>12</xdr:row>
      <xdr:rowOff>39583</xdr:rowOff>
    </xdr:to>
    <xdr:sp macro="" textlink="">
      <xdr:nvSpPr>
        <xdr:cNvPr id="10360" name="Rectangle 5">
          <a:hlinkClick xmlns:r="http://schemas.openxmlformats.org/officeDocument/2006/relationships" r:id="rId3"/>
          <a:extLst>
            <a:ext uri="{FF2B5EF4-FFF2-40B4-BE49-F238E27FC236}">
              <a16:creationId xmlns:a16="http://schemas.microsoft.com/office/drawing/2014/main" id="{DFE10128-3322-44FD-905E-97B202E27E6C}"/>
            </a:ext>
          </a:extLst>
        </xdr:cNvPr>
        <xdr:cNvSpPr>
          <a:spLocks noChangeArrowheads="1"/>
        </xdr:cNvSpPr>
      </xdr:nvSpPr>
      <xdr:spPr bwMode="auto">
        <a:xfrm>
          <a:off x="1778793" y="2237443"/>
          <a:ext cx="1352551" cy="481046"/>
        </a:xfrm>
        <a:prstGeom prst="rect">
          <a:avLst/>
        </a:prstGeom>
        <a:solidFill>
          <a:srgbClr val="00593D"/>
        </a:solidFill>
        <a:ln w="19050">
          <a:solidFill>
            <a:srgbClr val="FFFFFF"/>
          </a:solidFill>
          <a:miter lim="800000"/>
          <a:headEnd/>
          <a:tailEnd/>
        </a:ln>
      </xdr:spPr>
      <xdr:txBody>
        <a:bodyPr vertOverflow="clip" wrap="square" lIns="36576" tIns="27432" rIns="36576" bIns="0" anchor="ctr" upright="1"/>
        <a:lstStyle/>
        <a:p>
          <a:pPr algn="ctr" rtl="0">
            <a:defRPr sz="1000"/>
          </a:pPr>
          <a:r>
            <a:rPr lang="pt-BR" sz="1200" b="1" i="0" u="none" strike="noStrike" baseline="0">
              <a:solidFill>
                <a:srgbClr val="FFFFFF"/>
              </a:solidFill>
              <a:latin typeface="Arial"/>
              <a:cs typeface="Arial"/>
            </a:rPr>
            <a:t>W.C.</a:t>
          </a:r>
          <a:endParaRPr lang="pt-BR" sz="2000" b="1" i="0" u="none" strike="noStrike" baseline="0">
            <a:solidFill>
              <a:srgbClr val="000000"/>
            </a:solidFill>
            <a:latin typeface="Arial"/>
            <a:cs typeface="Arial"/>
          </a:endParaRPr>
        </a:p>
        <a:p>
          <a:pPr algn="ctr" rtl="0">
            <a:defRPr sz="1000"/>
          </a:pPr>
          <a:endParaRPr lang="pt-BR" sz="2000" b="1" i="0" u="none" strike="noStrike" baseline="0">
            <a:solidFill>
              <a:srgbClr val="000000"/>
            </a:solidFill>
            <a:latin typeface="Arial"/>
            <a:cs typeface="Arial"/>
          </a:endParaRPr>
        </a:p>
      </xdr:txBody>
    </xdr:sp>
    <xdr:clientData/>
  </xdr:twoCellAnchor>
  <xdr:twoCellAnchor>
    <xdr:from>
      <xdr:col>2</xdr:col>
      <xdr:colOff>557211</xdr:colOff>
      <xdr:row>6</xdr:row>
      <xdr:rowOff>58600</xdr:rowOff>
    </xdr:from>
    <xdr:to>
      <xdr:col>5</xdr:col>
      <xdr:colOff>89245</xdr:colOff>
      <xdr:row>9</xdr:row>
      <xdr:rowOff>20656</xdr:rowOff>
    </xdr:to>
    <xdr:sp macro="" textlink="">
      <xdr:nvSpPr>
        <xdr:cNvPr id="10247" name="Rectangle 7">
          <a:hlinkClick xmlns:r="http://schemas.openxmlformats.org/officeDocument/2006/relationships" r:id="rId4"/>
          <a:extLst>
            <a:ext uri="{FF2B5EF4-FFF2-40B4-BE49-F238E27FC236}">
              <a16:creationId xmlns:a16="http://schemas.microsoft.com/office/drawing/2014/main" id="{DEA22019-DF43-431E-9303-2C0CC41C7643}"/>
            </a:ext>
          </a:extLst>
        </xdr:cNvPr>
        <xdr:cNvSpPr>
          <a:spLocks noChangeArrowheads="1"/>
        </xdr:cNvSpPr>
      </xdr:nvSpPr>
      <xdr:spPr bwMode="auto">
        <a:xfrm>
          <a:off x="1771649" y="1737381"/>
          <a:ext cx="1353690" cy="462119"/>
        </a:xfrm>
        <a:prstGeom prst="rect">
          <a:avLst/>
        </a:prstGeom>
        <a:solidFill>
          <a:srgbClr val="00593D"/>
        </a:solidFill>
        <a:ln w="19050">
          <a:solidFill>
            <a:srgbClr val="FFFFFF"/>
          </a:solidFill>
          <a:miter lim="800000"/>
          <a:headEnd/>
          <a:tailEnd/>
        </a:ln>
      </xdr:spPr>
      <xdr:txBody>
        <a:bodyPr vertOverflow="clip" wrap="square" lIns="27432" tIns="18288" rIns="27432" bIns="0" anchor="ctr" upright="1"/>
        <a:lstStyle/>
        <a:p>
          <a:pPr algn="ctr" rtl="0">
            <a:defRPr sz="1000"/>
          </a:pPr>
          <a:r>
            <a:rPr lang="pt-BR" sz="1200" b="1" i="0" u="none" strike="noStrike" baseline="0">
              <a:solidFill>
                <a:srgbClr val="FFFFFF"/>
              </a:solidFill>
              <a:latin typeface="Arial"/>
              <a:cs typeface="Arial"/>
            </a:rPr>
            <a:t>Income Statement</a:t>
          </a:r>
        </a:p>
      </xdr:txBody>
    </xdr:sp>
    <xdr:clientData/>
  </xdr:twoCellAnchor>
  <xdr:twoCellAnchor>
    <xdr:from>
      <xdr:col>0</xdr:col>
      <xdr:colOff>359567</xdr:colOff>
      <xdr:row>9</xdr:row>
      <xdr:rowOff>82412</xdr:rowOff>
    </xdr:from>
    <xdr:to>
      <xdr:col>2</xdr:col>
      <xdr:colOff>528636</xdr:colOff>
      <xdr:row>12</xdr:row>
      <xdr:rowOff>63396</xdr:rowOff>
    </xdr:to>
    <xdr:sp macro="" textlink="">
      <xdr:nvSpPr>
        <xdr:cNvPr id="10363" name="Rectangle 8">
          <a:hlinkClick xmlns:r="http://schemas.openxmlformats.org/officeDocument/2006/relationships" r:id="rId5"/>
          <a:extLst>
            <a:ext uri="{FF2B5EF4-FFF2-40B4-BE49-F238E27FC236}">
              <a16:creationId xmlns:a16="http://schemas.microsoft.com/office/drawing/2014/main" id="{1A5DF16B-971F-43C3-A2FF-731861393601}"/>
            </a:ext>
          </a:extLst>
        </xdr:cNvPr>
        <xdr:cNvSpPr>
          <a:spLocks noChangeArrowheads="1"/>
        </xdr:cNvSpPr>
      </xdr:nvSpPr>
      <xdr:spPr bwMode="auto">
        <a:xfrm>
          <a:off x="359567" y="2261256"/>
          <a:ext cx="1383507" cy="481046"/>
        </a:xfrm>
        <a:prstGeom prst="rect">
          <a:avLst/>
        </a:prstGeom>
        <a:solidFill>
          <a:srgbClr val="00593D"/>
        </a:solidFill>
        <a:ln w="19050">
          <a:solidFill>
            <a:srgbClr val="FFFFFF"/>
          </a:solidFill>
          <a:miter lim="800000"/>
          <a:headEnd/>
          <a:tailEnd/>
        </a:ln>
      </xdr:spPr>
      <xdr:txBody>
        <a:bodyPr vertOverflow="clip" wrap="square" lIns="36576" tIns="27432" rIns="36576" bIns="0" anchor="ctr" upright="1"/>
        <a:lstStyle/>
        <a:p>
          <a:pPr algn="ctr" rtl="0">
            <a:defRPr sz="1000"/>
          </a:pPr>
          <a:r>
            <a:rPr lang="pt-BR" sz="1200" b="1" i="0" u="none" strike="noStrike" baseline="0">
              <a:solidFill>
                <a:srgbClr val="FFFFFF"/>
              </a:solidFill>
              <a:latin typeface="Arial"/>
              <a:cs typeface="Arial"/>
            </a:rPr>
            <a:t>NOPAT</a:t>
          </a:r>
          <a:endParaRPr lang="pt-BR" sz="2000" b="1" i="0" u="none" strike="noStrike" baseline="0">
            <a:solidFill>
              <a:srgbClr val="000000"/>
            </a:solidFill>
            <a:latin typeface="Arial"/>
            <a:cs typeface="Arial"/>
          </a:endParaRPr>
        </a:p>
        <a:p>
          <a:pPr algn="ctr" rtl="0">
            <a:defRPr sz="1000"/>
          </a:pPr>
          <a:endParaRPr lang="pt-BR" sz="2000" b="1" i="0" u="none" strike="noStrike" baseline="0">
            <a:solidFill>
              <a:srgbClr val="000000"/>
            </a:solidFill>
            <a:latin typeface="Arial"/>
            <a:cs typeface="Arial"/>
          </a:endParaRPr>
        </a:p>
      </xdr:txBody>
    </xdr:sp>
    <xdr:clientData/>
  </xdr:twoCellAnchor>
  <xdr:twoCellAnchor>
    <xdr:from>
      <xdr:col>5</xdr:col>
      <xdr:colOff>135732</xdr:colOff>
      <xdr:row>6</xdr:row>
      <xdr:rowOff>72887</xdr:rowOff>
    </xdr:from>
    <xdr:to>
      <xdr:col>7</xdr:col>
      <xdr:colOff>278607</xdr:colOff>
      <xdr:row>9</xdr:row>
      <xdr:rowOff>34943</xdr:rowOff>
    </xdr:to>
    <xdr:sp macro="" textlink="">
      <xdr:nvSpPr>
        <xdr:cNvPr id="10253" name="Rectangle 13">
          <a:hlinkClick xmlns:r="http://schemas.openxmlformats.org/officeDocument/2006/relationships" r:id="rId6"/>
          <a:extLst>
            <a:ext uri="{FF2B5EF4-FFF2-40B4-BE49-F238E27FC236}">
              <a16:creationId xmlns:a16="http://schemas.microsoft.com/office/drawing/2014/main" id="{2D713AB0-31AF-4DEC-BBC9-48B53E40658C}"/>
            </a:ext>
          </a:extLst>
        </xdr:cNvPr>
        <xdr:cNvSpPr>
          <a:spLocks noChangeArrowheads="1"/>
        </xdr:cNvSpPr>
      </xdr:nvSpPr>
      <xdr:spPr bwMode="auto">
        <a:xfrm>
          <a:off x="3171826" y="1751668"/>
          <a:ext cx="1357312" cy="462119"/>
        </a:xfrm>
        <a:prstGeom prst="rect">
          <a:avLst/>
        </a:prstGeom>
        <a:solidFill>
          <a:srgbClr val="00593D"/>
        </a:solidFill>
        <a:ln w="19050">
          <a:solidFill>
            <a:srgbClr val="FFFFFF"/>
          </a:solidFill>
          <a:miter lim="800000"/>
          <a:headEnd/>
          <a:tailEnd/>
        </a:ln>
      </xdr:spPr>
      <xdr:txBody>
        <a:bodyPr vertOverflow="clip" wrap="square" lIns="27432" tIns="18288" rIns="27432" bIns="0" anchor="ctr" upright="1"/>
        <a:lstStyle/>
        <a:p>
          <a:pPr algn="ctr" rtl="0">
            <a:defRPr sz="1000"/>
          </a:pPr>
          <a:r>
            <a:rPr lang="pt-BR" sz="1200" b="1" i="0" u="none" strike="noStrike" baseline="0">
              <a:solidFill>
                <a:srgbClr val="FFFFFF"/>
              </a:solidFill>
              <a:latin typeface="Arial"/>
              <a:cs typeface="Arial"/>
            </a:rPr>
            <a:t>Balance Sheet</a:t>
          </a:r>
        </a:p>
      </xdr:txBody>
    </xdr:sp>
    <xdr:clientData/>
  </xdr:twoCellAnchor>
  <xdr:twoCellAnchor>
    <xdr:from>
      <xdr:col>2</xdr:col>
      <xdr:colOff>546893</xdr:colOff>
      <xdr:row>12</xdr:row>
      <xdr:rowOff>69059</xdr:rowOff>
    </xdr:from>
    <xdr:to>
      <xdr:col>5</xdr:col>
      <xdr:colOff>115357</xdr:colOff>
      <xdr:row>15</xdr:row>
      <xdr:rowOff>40484</xdr:rowOff>
    </xdr:to>
    <xdr:sp macro="" textlink="">
      <xdr:nvSpPr>
        <xdr:cNvPr id="10453" name="Rectangle 6">
          <a:hlinkClick xmlns:r="http://schemas.openxmlformats.org/officeDocument/2006/relationships" r:id="rId7"/>
          <a:extLst>
            <a:ext uri="{FF2B5EF4-FFF2-40B4-BE49-F238E27FC236}">
              <a16:creationId xmlns:a16="http://schemas.microsoft.com/office/drawing/2014/main" id="{A785C9FA-EE4D-44B1-ACC2-A196B09F9E58}"/>
            </a:ext>
          </a:extLst>
        </xdr:cNvPr>
        <xdr:cNvSpPr>
          <a:spLocks noChangeArrowheads="1"/>
        </xdr:cNvSpPr>
      </xdr:nvSpPr>
      <xdr:spPr bwMode="auto">
        <a:xfrm>
          <a:off x="1761331" y="2747965"/>
          <a:ext cx="1390120" cy="471488"/>
        </a:xfrm>
        <a:prstGeom prst="rect">
          <a:avLst/>
        </a:prstGeom>
        <a:solidFill>
          <a:srgbClr val="00593D"/>
        </a:solidFill>
        <a:ln w="19050">
          <a:solidFill>
            <a:srgbClr val="FFFFFF"/>
          </a:solidFill>
          <a:miter lim="800000"/>
          <a:headEnd/>
          <a:tailEnd/>
        </a:ln>
      </xdr:spPr>
      <xdr:txBody>
        <a:bodyPr vertOverflow="clip" wrap="square" lIns="36576" tIns="27432" rIns="36576" bIns="0" anchor="ctr" upright="1"/>
        <a:lstStyle/>
        <a:p>
          <a:pPr algn="ctr" rtl="0">
            <a:defRPr sz="1000"/>
          </a:pPr>
          <a:r>
            <a:rPr lang="pt-BR" sz="1200" b="1" i="0" u="none" strike="noStrike" baseline="0">
              <a:solidFill>
                <a:srgbClr val="FFFFFF"/>
              </a:solidFill>
              <a:latin typeface="Arial"/>
              <a:cs typeface="Arial"/>
            </a:rPr>
            <a:t>Valuation</a:t>
          </a:r>
          <a:endParaRPr lang="pt-BR" sz="2000" b="1" i="0" u="none" strike="noStrike" baseline="0">
            <a:solidFill>
              <a:srgbClr val="000000"/>
            </a:solidFill>
            <a:latin typeface="Arial"/>
            <a:cs typeface="Arial"/>
          </a:endParaRPr>
        </a:p>
        <a:p>
          <a:pPr algn="ctr" rtl="0">
            <a:defRPr sz="1000"/>
          </a:pPr>
          <a:endParaRPr lang="pt-BR" sz="2000" b="1" i="0" u="none" strike="noStrike" baseline="0">
            <a:solidFill>
              <a:srgbClr val="000000"/>
            </a:solidFill>
            <a:latin typeface="Arial"/>
            <a:cs typeface="Arial"/>
          </a:endParaRPr>
        </a:p>
      </xdr:txBody>
    </xdr:sp>
    <xdr:clientData/>
  </xdr:twoCellAnchor>
  <xdr:twoCellAnchor>
    <xdr:from>
      <xdr:col>5</xdr:col>
      <xdr:colOff>142874</xdr:colOff>
      <xdr:row>9</xdr:row>
      <xdr:rowOff>74038</xdr:rowOff>
    </xdr:from>
    <xdr:to>
      <xdr:col>7</xdr:col>
      <xdr:colOff>269852</xdr:colOff>
      <xdr:row>12</xdr:row>
      <xdr:rowOff>45463</xdr:rowOff>
    </xdr:to>
    <xdr:sp macro="" textlink="">
      <xdr:nvSpPr>
        <xdr:cNvPr id="3" name="Rectangle 5">
          <a:hlinkClick xmlns:r="http://schemas.openxmlformats.org/officeDocument/2006/relationships" r:id="rId8"/>
          <a:extLst>
            <a:ext uri="{FF2B5EF4-FFF2-40B4-BE49-F238E27FC236}">
              <a16:creationId xmlns:a16="http://schemas.microsoft.com/office/drawing/2014/main" id="{EFE05912-A35A-423F-964D-3002BBF291DC}"/>
            </a:ext>
          </a:extLst>
        </xdr:cNvPr>
        <xdr:cNvSpPr>
          <a:spLocks noChangeArrowheads="1"/>
        </xdr:cNvSpPr>
      </xdr:nvSpPr>
      <xdr:spPr bwMode="auto">
        <a:xfrm>
          <a:off x="3178968" y="2252882"/>
          <a:ext cx="1341415" cy="471487"/>
        </a:xfrm>
        <a:prstGeom prst="rect">
          <a:avLst/>
        </a:prstGeom>
        <a:solidFill>
          <a:srgbClr val="00593D"/>
        </a:solidFill>
        <a:ln w="19050">
          <a:solidFill>
            <a:srgbClr val="FFFFFF"/>
          </a:solidFill>
          <a:miter lim="800000"/>
          <a:headEnd/>
          <a:tailEnd/>
        </a:ln>
      </xdr:spPr>
      <xdr:txBody>
        <a:bodyPr vertOverflow="clip" wrap="square" lIns="36576" tIns="27432" rIns="36576" bIns="0" anchor="ctr" upright="1"/>
        <a:lstStyle/>
        <a:p>
          <a:pPr algn="ctr" rtl="0">
            <a:defRPr sz="1000"/>
          </a:pPr>
          <a:r>
            <a:rPr lang="pt-BR" sz="1200" b="1" i="0" u="none" strike="noStrike" baseline="0">
              <a:solidFill>
                <a:srgbClr val="FFFFFF"/>
              </a:solidFill>
              <a:latin typeface="Arial"/>
              <a:cs typeface="Arial"/>
            </a:rPr>
            <a:t>Indicators</a:t>
          </a:r>
        </a:p>
      </xdr:txBody>
    </xdr:sp>
    <xdr:clientData/>
  </xdr:twoCellAnchor>
  <xdr:oneCellAnchor>
    <xdr:from>
      <xdr:col>14</xdr:col>
      <xdr:colOff>559599</xdr:colOff>
      <xdr:row>5</xdr:row>
      <xdr:rowOff>107151</xdr:rowOff>
    </xdr:from>
    <xdr:ext cx="3513591" cy="530658"/>
    <xdr:sp macro="" textlink="">
      <xdr:nvSpPr>
        <xdr:cNvPr id="2" name="CaixaDeTexto 1">
          <a:extLst>
            <a:ext uri="{FF2B5EF4-FFF2-40B4-BE49-F238E27FC236}">
              <a16:creationId xmlns:a16="http://schemas.microsoft.com/office/drawing/2014/main" id="{D4C84C99-B345-401A-82AB-03B1A6A5B71E}"/>
            </a:ext>
          </a:extLst>
        </xdr:cNvPr>
        <xdr:cNvSpPr txBox="1"/>
      </xdr:nvSpPr>
      <xdr:spPr>
        <a:xfrm>
          <a:off x="8989224" y="1131089"/>
          <a:ext cx="3513591" cy="5306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pt-BR" sz="2800" b="1">
              <a:solidFill>
                <a:schemeClr val="bg1"/>
              </a:solidFill>
            </a:rPr>
            <a:t>Template of Valuation</a:t>
          </a:r>
        </a:p>
      </xdr:txBody>
    </xdr:sp>
    <xdr:clientData/>
  </xdr:oneCellAnchor>
  <xdr:twoCellAnchor>
    <xdr:from>
      <xdr:col>14</xdr:col>
      <xdr:colOff>209550</xdr:colOff>
      <xdr:row>0</xdr:row>
      <xdr:rowOff>104775</xdr:rowOff>
    </xdr:from>
    <xdr:to>
      <xdr:col>22</xdr:col>
      <xdr:colOff>190500</xdr:colOff>
      <xdr:row>4</xdr:row>
      <xdr:rowOff>133350</xdr:rowOff>
    </xdr:to>
    <xdr:grpSp>
      <xdr:nvGrpSpPr>
        <xdr:cNvPr id="1303170" name="Group 1">
          <a:extLst>
            <a:ext uri="{FF2B5EF4-FFF2-40B4-BE49-F238E27FC236}">
              <a16:creationId xmlns:a16="http://schemas.microsoft.com/office/drawing/2014/main" id="{B05E9B76-0DB2-4394-8D2C-20B501ACB8E4}"/>
            </a:ext>
          </a:extLst>
        </xdr:cNvPr>
        <xdr:cNvGrpSpPr>
          <a:grpSpLocks/>
        </xdr:cNvGrpSpPr>
      </xdr:nvGrpSpPr>
      <xdr:grpSpPr bwMode="auto">
        <a:xfrm>
          <a:off x="8639175" y="104775"/>
          <a:ext cx="4564856" cy="790575"/>
          <a:chOff x="480" y="1584"/>
          <a:chExt cx="1152" cy="292"/>
        </a:xfrm>
      </xdr:grpSpPr>
      <xdr:sp macro="" textlink="">
        <xdr:nvSpPr>
          <xdr:cNvPr id="1303171" name="AutoShape 2">
            <a:extLst>
              <a:ext uri="{FF2B5EF4-FFF2-40B4-BE49-F238E27FC236}">
                <a16:creationId xmlns:a16="http://schemas.microsoft.com/office/drawing/2014/main" id="{61F049FD-949B-4CF4-ACE3-79A180B13DCA}"/>
              </a:ext>
            </a:extLst>
          </xdr:cNvPr>
          <xdr:cNvSpPr>
            <a:spLocks noChangeAspect="1" noChangeArrowheads="1"/>
          </xdr:cNvSpPr>
        </xdr:nvSpPr>
        <xdr:spPr bwMode="auto">
          <a:xfrm>
            <a:off x="480" y="1599"/>
            <a:ext cx="1056" cy="2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303172" name="Freeform 3">
            <a:extLst>
              <a:ext uri="{FF2B5EF4-FFF2-40B4-BE49-F238E27FC236}">
                <a16:creationId xmlns:a16="http://schemas.microsoft.com/office/drawing/2014/main" id="{ECC7266E-E030-41B6-98E5-175B559497D4}"/>
              </a:ext>
            </a:extLst>
          </xdr:cNvPr>
          <xdr:cNvSpPr>
            <a:spLocks/>
          </xdr:cNvSpPr>
        </xdr:nvSpPr>
        <xdr:spPr bwMode="auto">
          <a:xfrm>
            <a:off x="480" y="1759"/>
            <a:ext cx="455" cy="82"/>
          </a:xfrm>
          <a:custGeom>
            <a:avLst/>
            <a:gdLst>
              <a:gd name="T0" fmla="*/ 0 w 558"/>
              <a:gd name="T1" fmla="*/ 21 h 84"/>
              <a:gd name="T2" fmla="*/ 2 w 558"/>
              <a:gd name="T3" fmla="*/ 3 h 84"/>
              <a:gd name="T4" fmla="*/ 2 w 558"/>
              <a:gd name="T5" fmla="*/ 7 h 84"/>
              <a:gd name="T6" fmla="*/ 2 w 558"/>
              <a:gd name="T7" fmla="*/ 12 h 84"/>
              <a:gd name="T8" fmla="*/ 2 w 558"/>
              <a:gd name="T9" fmla="*/ 17 h 84"/>
              <a:gd name="T10" fmla="*/ 2 w 558"/>
              <a:gd name="T11" fmla="*/ 21 h 84"/>
              <a:gd name="T12" fmla="*/ 2 w 558"/>
              <a:gd name="T13" fmla="*/ 21 h 84"/>
              <a:gd name="T14" fmla="*/ 2 w 558"/>
              <a:gd name="T15" fmla="*/ 21 h 84"/>
              <a:gd name="T16" fmla="*/ 2 w 558"/>
              <a:gd name="T17" fmla="*/ 21 h 84"/>
              <a:gd name="T18" fmla="*/ 2 w 558"/>
              <a:gd name="T19" fmla="*/ 21 h 84"/>
              <a:gd name="T20" fmla="*/ 2 w 558"/>
              <a:gd name="T21" fmla="*/ 21 h 84"/>
              <a:gd name="T22" fmla="*/ 2 w 558"/>
              <a:gd name="T23" fmla="*/ 21 h 84"/>
              <a:gd name="T24" fmla="*/ 2 w 558"/>
              <a:gd name="T25" fmla="*/ 21 h 84"/>
              <a:gd name="T26" fmla="*/ 2 w 558"/>
              <a:gd name="T27" fmla="*/ 21 h 84"/>
              <a:gd name="T28" fmla="*/ 2 w 558"/>
              <a:gd name="T29" fmla="*/ 21 h 84"/>
              <a:gd name="T30" fmla="*/ 2 w 558"/>
              <a:gd name="T31" fmla="*/ 21 h 84"/>
              <a:gd name="T32" fmla="*/ 2 w 558"/>
              <a:gd name="T33" fmla="*/ 21 h 84"/>
              <a:gd name="T34" fmla="*/ 2 w 558"/>
              <a:gd name="T35" fmla="*/ 21 h 84"/>
              <a:gd name="T36" fmla="*/ 2 w 558"/>
              <a:gd name="T37" fmla="*/ 21 h 84"/>
              <a:gd name="T38" fmla="*/ 2 w 558"/>
              <a:gd name="T39" fmla="*/ 21 h 84"/>
              <a:gd name="T40" fmla="*/ 2 w 558"/>
              <a:gd name="T41" fmla="*/ 21 h 84"/>
              <a:gd name="T42" fmla="*/ 2 w 558"/>
              <a:gd name="T43" fmla="*/ 21 h 84"/>
              <a:gd name="T44" fmla="*/ 2 w 558"/>
              <a:gd name="T45" fmla="*/ 21 h 84"/>
              <a:gd name="T46" fmla="*/ 2 w 558"/>
              <a:gd name="T47" fmla="*/ 21 h 84"/>
              <a:gd name="T48" fmla="*/ 2 w 558"/>
              <a:gd name="T49" fmla="*/ 21 h 84"/>
              <a:gd name="T50" fmla="*/ 2 w 558"/>
              <a:gd name="T51" fmla="*/ 21 h 84"/>
              <a:gd name="T52" fmla="*/ 2 w 558"/>
              <a:gd name="T53" fmla="*/ 21 h 84"/>
              <a:gd name="T54" fmla="*/ 2 w 558"/>
              <a:gd name="T55" fmla="*/ 21 h 84"/>
              <a:gd name="T56" fmla="*/ 2 w 558"/>
              <a:gd name="T57" fmla="*/ 21 h 84"/>
              <a:gd name="T58" fmla="*/ 2 w 558"/>
              <a:gd name="T59" fmla="*/ 17 h 84"/>
              <a:gd name="T60" fmla="*/ 2 w 558"/>
              <a:gd name="T61" fmla="*/ 12 h 84"/>
              <a:gd name="T62" fmla="*/ 2 w 558"/>
              <a:gd name="T63" fmla="*/ 8 h 84"/>
              <a:gd name="T64" fmla="*/ 2 w 558"/>
              <a:gd name="T65" fmla="*/ 3 h 84"/>
              <a:gd name="T66" fmla="*/ 2 w 558"/>
              <a:gd name="T67" fmla="*/ 21 h 84"/>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w 558"/>
              <a:gd name="T103" fmla="*/ 0 h 84"/>
              <a:gd name="T104" fmla="*/ 558 w 558"/>
              <a:gd name="T105" fmla="*/ 84 h 84"/>
            </a:gdLst>
            <a:ahLst/>
            <a:cxnLst>
              <a:cxn ang="T68">
                <a:pos x="T0" y="T1"/>
              </a:cxn>
              <a:cxn ang="T69">
                <a:pos x="T2" y="T3"/>
              </a:cxn>
              <a:cxn ang="T70">
                <a:pos x="T4" y="T5"/>
              </a:cxn>
              <a:cxn ang="T71">
                <a:pos x="T6" y="T7"/>
              </a:cxn>
              <a:cxn ang="T72">
                <a:pos x="T8" y="T9"/>
              </a:cxn>
              <a:cxn ang="T73">
                <a:pos x="T10" y="T11"/>
              </a:cxn>
              <a:cxn ang="T74">
                <a:pos x="T12" y="T13"/>
              </a:cxn>
              <a:cxn ang="T75">
                <a:pos x="T14" y="T15"/>
              </a:cxn>
              <a:cxn ang="T76">
                <a:pos x="T16" y="T17"/>
              </a:cxn>
              <a:cxn ang="T77">
                <a:pos x="T18" y="T19"/>
              </a:cxn>
              <a:cxn ang="T78">
                <a:pos x="T20" y="T21"/>
              </a:cxn>
              <a:cxn ang="T79">
                <a:pos x="T22" y="T23"/>
              </a:cxn>
              <a:cxn ang="T80">
                <a:pos x="T24" y="T25"/>
              </a:cxn>
              <a:cxn ang="T81">
                <a:pos x="T26" y="T27"/>
              </a:cxn>
              <a:cxn ang="T82">
                <a:pos x="T28" y="T29"/>
              </a:cxn>
              <a:cxn ang="T83">
                <a:pos x="T30" y="T31"/>
              </a:cxn>
              <a:cxn ang="T84">
                <a:pos x="T32" y="T33"/>
              </a:cxn>
              <a:cxn ang="T85">
                <a:pos x="T34" y="T35"/>
              </a:cxn>
              <a:cxn ang="T86">
                <a:pos x="T36" y="T37"/>
              </a:cxn>
              <a:cxn ang="T87">
                <a:pos x="T38" y="T39"/>
              </a:cxn>
              <a:cxn ang="T88">
                <a:pos x="T40" y="T41"/>
              </a:cxn>
              <a:cxn ang="T89">
                <a:pos x="T42" y="T43"/>
              </a:cxn>
              <a:cxn ang="T90">
                <a:pos x="T44" y="T45"/>
              </a:cxn>
              <a:cxn ang="T91">
                <a:pos x="T46" y="T47"/>
              </a:cxn>
              <a:cxn ang="T92">
                <a:pos x="T48" y="T49"/>
              </a:cxn>
              <a:cxn ang="T93">
                <a:pos x="T50" y="T51"/>
              </a:cxn>
              <a:cxn ang="T94">
                <a:pos x="T52" y="T53"/>
              </a:cxn>
              <a:cxn ang="T95">
                <a:pos x="T54" y="T55"/>
              </a:cxn>
              <a:cxn ang="T96">
                <a:pos x="T56" y="T57"/>
              </a:cxn>
              <a:cxn ang="T97">
                <a:pos x="T58" y="T59"/>
              </a:cxn>
              <a:cxn ang="T98">
                <a:pos x="T60" y="T61"/>
              </a:cxn>
              <a:cxn ang="T99">
                <a:pos x="T62" y="T63"/>
              </a:cxn>
              <a:cxn ang="T100">
                <a:pos x="T64" y="T65"/>
              </a:cxn>
              <a:cxn ang="T101">
                <a:pos x="T66" y="T67"/>
              </a:cxn>
            </a:cxnLst>
            <a:rect l="T102" t="T103" r="T104" b="T105"/>
            <a:pathLst>
              <a:path w="558" h="84">
                <a:moveTo>
                  <a:pt x="508" y="84"/>
                </a:moveTo>
                <a:lnTo>
                  <a:pt x="0" y="84"/>
                </a:lnTo>
                <a:lnTo>
                  <a:pt x="50" y="0"/>
                </a:lnTo>
                <a:lnTo>
                  <a:pt x="54" y="3"/>
                </a:lnTo>
                <a:lnTo>
                  <a:pt x="58" y="5"/>
                </a:lnTo>
                <a:lnTo>
                  <a:pt x="63" y="7"/>
                </a:lnTo>
                <a:lnTo>
                  <a:pt x="68" y="10"/>
                </a:lnTo>
                <a:lnTo>
                  <a:pt x="73" y="12"/>
                </a:lnTo>
                <a:lnTo>
                  <a:pt x="78" y="14"/>
                </a:lnTo>
                <a:lnTo>
                  <a:pt x="84" y="17"/>
                </a:lnTo>
                <a:lnTo>
                  <a:pt x="89" y="19"/>
                </a:lnTo>
                <a:lnTo>
                  <a:pt x="95" y="21"/>
                </a:lnTo>
                <a:lnTo>
                  <a:pt x="101" y="23"/>
                </a:lnTo>
                <a:lnTo>
                  <a:pt x="108" y="25"/>
                </a:lnTo>
                <a:lnTo>
                  <a:pt x="114" y="27"/>
                </a:lnTo>
                <a:lnTo>
                  <a:pt x="121" y="28"/>
                </a:lnTo>
                <a:lnTo>
                  <a:pt x="128" y="30"/>
                </a:lnTo>
                <a:lnTo>
                  <a:pt x="135" y="32"/>
                </a:lnTo>
                <a:lnTo>
                  <a:pt x="142" y="33"/>
                </a:lnTo>
                <a:lnTo>
                  <a:pt x="149" y="35"/>
                </a:lnTo>
                <a:lnTo>
                  <a:pt x="156" y="36"/>
                </a:lnTo>
                <a:lnTo>
                  <a:pt x="164" y="37"/>
                </a:lnTo>
                <a:lnTo>
                  <a:pt x="172" y="38"/>
                </a:lnTo>
                <a:lnTo>
                  <a:pt x="180" y="39"/>
                </a:lnTo>
                <a:lnTo>
                  <a:pt x="188" y="41"/>
                </a:lnTo>
                <a:lnTo>
                  <a:pt x="196" y="41"/>
                </a:lnTo>
                <a:lnTo>
                  <a:pt x="205" y="42"/>
                </a:lnTo>
                <a:lnTo>
                  <a:pt x="213" y="43"/>
                </a:lnTo>
                <a:lnTo>
                  <a:pt x="222" y="44"/>
                </a:lnTo>
                <a:lnTo>
                  <a:pt x="231" y="44"/>
                </a:lnTo>
                <a:lnTo>
                  <a:pt x="240" y="45"/>
                </a:lnTo>
                <a:lnTo>
                  <a:pt x="249" y="45"/>
                </a:lnTo>
                <a:lnTo>
                  <a:pt x="258" y="45"/>
                </a:lnTo>
                <a:lnTo>
                  <a:pt x="267" y="45"/>
                </a:lnTo>
                <a:lnTo>
                  <a:pt x="277" y="45"/>
                </a:lnTo>
                <a:lnTo>
                  <a:pt x="287" y="45"/>
                </a:lnTo>
                <a:lnTo>
                  <a:pt x="296" y="45"/>
                </a:lnTo>
                <a:lnTo>
                  <a:pt x="306" y="45"/>
                </a:lnTo>
                <a:lnTo>
                  <a:pt x="315" y="45"/>
                </a:lnTo>
                <a:lnTo>
                  <a:pt x="325" y="44"/>
                </a:lnTo>
                <a:lnTo>
                  <a:pt x="334" y="44"/>
                </a:lnTo>
                <a:lnTo>
                  <a:pt x="344" y="43"/>
                </a:lnTo>
                <a:lnTo>
                  <a:pt x="353" y="42"/>
                </a:lnTo>
                <a:lnTo>
                  <a:pt x="362" y="41"/>
                </a:lnTo>
                <a:lnTo>
                  <a:pt x="372" y="41"/>
                </a:lnTo>
                <a:lnTo>
                  <a:pt x="381" y="39"/>
                </a:lnTo>
                <a:lnTo>
                  <a:pt x="390" y="38"/>
                </a:lnTo>
                <a:lnTo>
                  <a:pt x="399" y="37"/>
                </a:lnTo>
                <a:lnTo>
                  <a:pt x="409" y="36"/>
                </a:lnTo>
                <a:lnTo>
                  <a:pt x="418" y="35"/>
                </a:lnTo>
                <a:lnTo>
                  <a:pt x="427" y="33"/>
                </a:lnTo>
                <a:lnTo>
                  <a:pt x="436" y="32"/>
                </a:lnTo>
                <a:lnTo>
                  <a:pt x="444" y="30"/>
                </a:lnTo>
                <a:lnTo>
                  <a:pt x="453" y="28"/>
                </a:lnTo>
                <a:lnTo>
                  <a:pt x="462" y="27"/>
                </a:lnTo>
                <a:lnTo>
                  <a:pt x="470" y="25"/>
                </a:lnTo>
                <a:lnTo>
                  <a:pt x="479" y="23"/>
                </a:lnTo>
                <a:lnTo>
                  <a:pt x="487" y="21"/>
                </a:lnTo>
                <a:lnTo>
                  <a:pt x="496" y="19"/>
                </a:lnTo>
                <a:lnTo>
                  <a:pt x="504" y="17"/>
                </a:lnTo>
                <a:lnTo>
                  <a:pt x="512" y="15"/>
                </a:lnTo>
                <a:lnTo>
                  <a:pt x="520" y="12"/>
                </a:lnTo>
                <a:lnTo>
                  <a:pt x="528" y="10"/>
                </a:lnTo>
                <a:lnTo>
                  <a:pt x="535" y="8"/>
                </a:lnTo>
                <a:lnTo>
                  <a:pt x="543" y="5"/>
                </a:lnTo>
                <a:lnTo>
                  <a:pt x="550" y="3"/>
                </a:lnTo>
                <a:lnTo>
                  <a:pt x="558" y="0"/>
                </a:lnTo>
                <a:lnTo>
                  <a:pt x="508" y="84"/>
                </a:lnTo>
                <a:close/>
              </a:path>
            </a:pathLst>
          </a:custGeom>
          <a:solidFill>
            <a:srgbClr val="00593C"/>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303173" name="Freeform 4">
            <a:extLst>
              <a:ext uri="{FF2B5EF4-FFF2-40B4-BE49-F238E27FC236}">
                <a16:creationId xmlns:a16="http://schemas.microsoft.com/office/drawing/2014/main" id="{BEEE7C99-4BE2-473D-AC46-C83A9767E09A}"/>
              </a:ext>
            </a:extLst>
          </xdr:cNvPr>
          <xdr:cNvSpPr>
            <a:spLocks/>
          </xdr:cNvSpPr>
        </xdr:nvSpPr>
        <xdr:spPr bwMode="auto">
          <a:xfrm>
            <a:off x="814" y="1598"/>
            <a:ext cx="196" cy="156"/>
          </a:xfrm>
          <a:custGeom>
            <a:avLst/>
            <a:gdLst>
              <a:gd name="T0" fmla="*/ 2 w 241"/>
              <a:gd name="T1" fmla="*/ 39 h 158"/>
              <a:gd name="T2" fmla="*/ 2 w 241"/>
              <a:gd name="T3" fmla="*/ 39 h 158"/>
              <a:gd name="T4" fmla="*/ 2 w 241"/>
              <a:gd name="T5" fmla="*/ 39 h 158"/>
              <a:gd name="T6" fmla="*/ 2 w 241"/>
              <a:gd name="T7" fmla="*/ 39 h 158"/>
              <a:gd name="T8" fmla="*/ 2 w 241"/>
              <a:gd name="T9" fmla="*/ 39 h 158"/>
              <a:gd name="T10" fmla="*/ 2 w 241"/>
              <a:gd name="T11" fmla="*/ 39 h 158"/>
              <a:gd name="T12" fmla="*/ 2 w 241"/>
              <a:gd name="T13" fmla="*/ 39 h 158"/>
              <a:gd name="T14" fmla="*/ 2 w 241"/>
              <a:gd name="T15" fmla="*/ 39 h 158"/>
              <a:gd name="T16" fmla="*/ 2 w 241"/>
              <a:gd name="T17" fmla="*/ 39 h 158"/>
              <a:gd name="T18" fmla="*/ 1 w 241"/>
              <a:gd name="T19" fmla="*/ 39 h 158"/>
              <a:gd name="T20" fmla="*/ 1 w 241"/>
              <a:gd name="T21" fmla="*/ 39 h 158"/>
              <a:gd name="T22" fmla="*/ 2 w 241"/>
              <a:gd name="T23" fmla="*/ 39 h 158"/>
              <a:gd name="T24" fmla="*/ 2 w 241"/>
              <a:gd name="T25" fmla="*/ 39 h 158"/>
              <a:gd name="T26" fmla="*/ 2 w 241"/>
              <a:gd name="T27" fmla="*/ 39 h 158"/>
              <a:gd name="T28" fmla="*/ 2 w 241"/>
              <a:gd name="T29" fmla="*/ 39 h 158"/>
              <a:gd name="T30" fmla="*/ 2 w 241"/>
              <a:gd name="T31" fmla="*/ 30 h 158"/>
              <a:gd name="T32" fmla="*/ 2 w 241"/>
              <a:gd name="T33" fmla="*/ 19 h 158"/>
              <a:gd name="T34" fmla="*/ 2 w 241"/>
              <a:gd name="T35" fmla="*/ 10 h 158"/>
              <a:gd name="T36" fmla="*/ 2 w 241"/>
              <a:gd name="T37" fmla="*/ 3 h 158"/>
              <a:gd name="T38" fmla="*/ 2 w 241"/>
              <a:gd name="T39" fmla="*/ 1 h 158"/>
              <a:gd name="T40" fmla="*/ 2 w 241"/>
              <a:gd name="T41" fmla="*/ 1 h 158"/>
              <a:gd name="T42" fmla="*/ 2 w 241"/>
              <a:gd name="T43" fmla="*/ 3 h 158"/>
              <a:gd name="T44" fmla="*/ 2 w 241"/>
              <a:gd name="T45" fmla="*/ 39 h 158"/>
              <a:gd name="T46" fmla="*/ 2 w 241"/>
              <a:gd name="T47" fmla="*/ 36 h 158"/>
              <a:gd name="T48" fmla="*/ 2 w 241"/>
              <a:gd name="T49" fmla="*/ 33 h 158"/>
              <a:gd name="T50" fmla="*/ 2 w 241"/>
              <a:gd name="T51" fmla="*/ 31 h 158"/>
              <a:gd name="T52" fmla="*/ 2 w 241"/>
              <a:gd name="T53" fmla="*/ 29 h 158"/>
              <a:gd name="T54" fmla="*/ 2 w 241"/>
              <a:gd name="T55" fmla="*/ 28 h 158"/>
              <a:gd name="T56" fmla="*/ 2 w 241"/>
              <a:gd name="T57" fmla="*/ 29 h 158"/>
              <a:gd name="T58" fmla="*/ 2 w 241"/>
              <a:gd name="T59" fmla="*/ 30 h 158"/>
              <a:gd name="T60" fmla="*/ 2 w 241"/>
              <a:gd name="T61" fmla="*/ 34 h 158"/>
              <a:gd name="T62" fmla="*/ 2 w 241"/>
              <a:gd name="T63" fmla="*/ 39 h 158"/>
              <a:gd name="T64" fmla="*/ 2 w 241"/>
              <a:gd name="T65" fmla="*/ 39 h 158"/>
              <a:gd name="T66" fmla="*/ 2 w 241"/>
              <a:gd name="T67" fmla="*/ 39 h 158"/>
              <a:gd name="T68" fmla="*/ 2 w 241"/>
              <a:gd name="T69" fmla="*/ 39 h 158"/>
              <a:gd name="T70" fmla="*/ 2 w 241"/>
              <a:gd name="T71" fmla="*/ 39 h 158"/>
              <a:gd name="T72" fmla="*/ 2 w 241"/>
              <a:gd name="T73" fmla="*/ 39 h 158"/>
              <a:gd name="T74" fmla="*/ 2 w 241"/>
              <a:gd name="T75" fmla="*/ 39 h 158"/>
              <a:gd name="T76" fmla="*/ 2 w 241"/>
              <a:gd name="T77" fmla="*/ 39 h 158"/>
              <a:gd name="T78" fmla="*/ 2 w 241"/>
              <a:gd name="T79" fmla="*/ 39 h 158"/>
              <a:gd name="T80" fmla="*/ 2 w 241"/>
              <a:gd name="T81" fmla="*/ 39 h 158"/>
              <a:gd name="T82" fmla="*/ 2 w 241"/>
              <a:gd name="T83" fmla="*/ 39 h 158"/>
              <a:gd name="T84" fmla="*/ 2 w 241"/>
              <a:gd name="T85" fmla="*/ 39 h 158"/>
              <a:gd name="T86" fmla="*/ 2 w 241"/>
              <a:gd name="T87" fmla="*/ 39 h 158"/>
              <a:gd name="T88" fmla="*/ 2 w 241"/>
              <a:gd name="T89" fmla="*/ 39 h 158"/>
              <a:gd name="T90" fmla="*/ 2 w 241"/>
              <a:gd name="T91" fmla="*/ 39 h 158"/>
              <a:gd name="T92" fmla="*/ 2 w 241"/>
              <a:gd name="T93" fmla="*/ 39 h 158"/>
              <a:gd name="T94" fmla="*/ 2 w 241"/>
              <a:gd name="T95" fmla="*/ 39 h 158"/>
              <a:gd name="T96" fmla="*/ 2 w 241"/>
              <a:gd name="T97" fmla="*/ 39 h 158"/>
              <a:gd name="T98" fmla="*/ 2 w 241"/>
              <a:gd name="T99" fmla="*/ 39 h 158"/>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w 241"/>
              <a:gd name="T151" fmla="*/ 0 h 158"/>
              <a:gd name="T152" fmla="*/ 241 w 241"/>
              <a:gd name="T153" fmla="*/ 158 h 158"/>
            </a:gdLst>
            <a:ahLst/>
            <a:cxnLst>
              <a:cxn ang="T100">
                <a:pos x="T0" y="T1"/>
              </a:cxn>
              <a:cxn ang="T101">
                <a:pos x="T2" y="T3"/>
              </a:cxn>
              <a:cxn ang="T102">
                <a:pos x="T4" y="T5"/>
              </a:cxn>
              <a:cxn ang="T103">
                <a:pos x="T6" y="T7"/>
              </a:cxn>
              <a:cxn ang="T104">
                <a:pos x="T8" y="T9"/>
              </a:cxn>
              <a:cxn ang="T105">
                <a:pos x="T10" y="T11"/>
              </a:cxn>
              <a:cxn ang="T106">
                <a:pos x="T12" y="T13"/>
              </a:cxn>
              <a:cxn ang="T107">
                <a:pos x="T14" y="T15"/>
              </a:cxn>
              <a:cxn ang="T108">
                <a:pos x="T16" y="T17"/>
              </a:cxn>
              <a:cxn ang="T109">
                <a:pos x="T18" y="T19"/>
              </a:cxn>
              <a:cxn ang="T110">
                <a:pos x="T20" y="T21"/>
              </a:cxn>
              <a:cxn ang="T111">
                <a:pos x="T22" y="T23"/>
              </a:cxn>
              <a:cxn ang="T112">
                <a:pos x="T24" y="T25"/>
              </a:cxn>
              <a:cxn ang="T113">
                <a:pos x="T26" y="T27"/>
              </a:cxn>
              <a:cxn ang="T114">
                <a:pos x="T28" y="T29"/>
              </a:cxn>
              <a:cxn ang="T115">
                <a:pos x="T30" y="T31"/>
              </a:cxn>
              <a:cxn ang="T116">
                <a:pos x="T32" y="T33"/>
              </a:cxn>
              <a:cxn ang="T117">
                <a:pos x="T34" y="T35"/>
              </a:cxn>
              <a:cxn ang="T118">
                <a:pos x="T36" y="T37"/>
              </a:cxn>
              <a:cxn ang="T119">
                <a:pos x="T38" y="T39"/>
              </a:cxn>
              <a:cxn ang="T120">
                <a:pos x="T40" y="T41"/>
              </a:cxn>
              <a:cxn ang="T121">
                <a:pos x="T42" y="T43"/>
              </a:cxn>
              <a:cxn ang="T122">
                <a:pos x="T44" y="T45"/>
              </a:cxn>
              <a:cxn ang="T123">
                <a:pos x="T46" y="T47"/>
              </a:cxn>
              <a:cxn ang="T124">
                <a:pos x="T48" y="T49"/>
              </a:cxn>
              <a:cxn ang="T125">
                <a:pos x="T50" y="T51"/>
              </a:cxn>
              <a:cxn ang="T126">
                <a:pos x="T52" y="T53"/>
              </a:cxn>
              <a:cxn ang="T127">
                <a:pos x="T54" y="T55"/>
              </a:cxn>
              <a:cxn ang="T128">
                <a:pos x="T56" y="T57"/>
              </a:cxn>
              <a:cxn ang="T129">
                <a:pos x="T58" y="T59"/>
              </a:cxn>
              <a:cxn ang="T130">
                <a:pos x="T60" y="T61"/>
              </a:cxn>
              <a:cxn ang="T131">
                <a:pos x="T62" y="T63"/>
              </a:cxn>
              <a:cxn ang="T132">
                <a:pos x="T64" y="T65"/>
              </a:cxn>
              <a:cxn ang="T133">
                <a:pos x="T66" y="T67"/>
              </a:cxn>
              <a:cxn ang="T134">
                <a:pos x="T68" y="T69"/>
              </a:cxn>
              <a:cxn ang="T135">
                <a:pos x="T70" y="T71"/>
              </a:cxn>
              <a:cxn ang="T136">
                <a:pos x="T72" y="T73"/>
              </a:cxn>
              <a:cxn ang="T137">
                <a:pos x="T74" y="T75"/>
              </a:cxn>
              <a:cxn ang="T138">
                <a:pos x="T76" y="T77"/>
              </a:cxn>
              <a:cxn ang="T139">
                <a:pos x="T78" y="T79"/>
              </a:cxn>
              <a:cxn ang="T140">
                <a:pos x="T80" y="T81"/>
              </a:cxn>
              <a:cxn ang="T141">
                <a:pos x="T82" y="T83"/>
              </a:cxn>
              <a:cxn ang="T142">
                <a:pos x="T84" y="T85"/>
              </a:cxn>
              <a:cxn ang="T143">
                <a:pos x="T86" y="T87"/>
              </a:cxn>
              <a:cxn ang="T144">
                <a:pos x="T88" y="T89"/>
              </a:cxn>
              <a:cxn ang="T145">
                <a:pos x="T90" y="T91"/>
              </a:cxn>
              <a:cxn ang="T146">
                <a:pos x="T92" y="T93"/>
              </a:cxn>
              <a:cxn ang="T147">
                <a:pos x="T94" y="T95"/>
              </a:cxn>
              <a:cxn ang="T148">
                <a:pos x="T96" y="T97"/>
              </a:cxn>
              <a:cxn ang="T149">
                <a:pos x="T98" y="T99"/>
              </a:cxn>
            </a:cxnLst>
            <a:rect l="T150" t="T151" r="T152" b="T153"/>
            <a:pathLst>
              <a:path w="241" h="158">
                <a:moveTo>
                  <a:pt x="157" y="147"/>
                </a:moveTo>
                <a:lnTo>
                  <a:pt x="152" y="148"/>
                </a:lnTo>
                <a:lnTo>
                  <a:pt x="148" y="150"/>
                </a:lnTo>
                <a:lnTo>
                  <a:pt x="143" y="151"/>
                </a:lnTo>
                <a:lnTo>
                  <a:pt x="138" y="152"/>
                </a:lnTo>
                <a:lnTo>
                  <a:pt x="134" y="153"/>
                </a:lnTo>
                <a:lnTo>
                  <a:pt x="129" y="154"/>
                </a:lnTo>
                <a:lnTo>
                  <a:pt x="125" y="155"/>
                </a:lnTo>
                <a:lnTo>
                  <a:pt x="121" y="156"/>
                </a:lnTo>
                <a:lnTo>
                  <a:pt x="116" y="156"/>
                </a:lnTo>
                <a:lnTo>
                  <a:pt x="112" y="157"/>
                </a:lnTo>
                <a:lnTo>
                  <a:pt x="107" y="157"/>
                </a:lnTo>
                <a:lnTo>
                  <a:pt x="103" y="158"/>
                </a:lnTo>
                <a:lnTo>
                  <a:pt x="99" y="158"/>
                </a:lnTo>
                <a:lnTo>
                  <a:pt x="95" y="158"/>
                </a:lnTo>
                <a:lnTo>
                  <a:pt x="90" y="158"/>
                </a:lnTo>
                <a:lnTo>
                  <a:pt x="86" y="158"/>
                </a:lnTo>
                <a:lnTo>
                  <a:pt x="80" y="158"/>
                </a:lnTo>
                <a:lnTo>
                  <a:pt x="74" y="158"/>
                </a:lnTo>
                <a:lnTo>
                  <a:pt x="68" y="158"/>
                </a:lnTo>
                <a:lnTo>
                  <a:pt x="62" y="157"/>
                </a:lnTo>
                <a:lnTo>
                  <a:pt x="57" y="156"/>
                </a:lnTo>
                <a:lnTo>
                  <a:pt x="51" y="155"/>
                </a:lnTo>
                <a:lnTo>
                  <a:pt x="46" y="154"/>
                </a:lnTo>
                <a:lnTo>
                  <a:pt x="42" y="153"/>
                </a:lnTo>
                <a:lnTo>
                  <a:pt x="37" y="152"/>
                </a:lnTo>
                <a:lnTo>
                  <a:pt x="33" y="150"/>
                </a:lnTo>
                <a:lnTo>
                  <a:pt x="29" y="148"/>
                </a:lnTo>
                <a:lnTo>
                  <a:pt x="25" y="147"/>
                </a:lnTo>
                <a:lnTo>
                  <a:pt x="21" y="145"/>
                </a:lnTo>
                <a:lnTo>
                  <a:pt x="18" y="143"/>
                </a:lnTo>
                <a:lnTo>
                  <a:pt x="15" y="140"/>
                </a:lnTo>
                <a:lnTo>
                  <a:pt x="12" y="138"/>
                </a:lnTo>
                <a:lnTo>
                  <a:pt x="10" y="136"/>
                </a:lnTo>
                <a:lnTo>
                  <a:pt x="7" y="133"/>
                </a:lnTo>
                <a:lnTo>
                  <a:pt x="5" y="130"/>
                </a:lnTo>
                <a:lnTo>
                  <a:pt x="4" y="127"/>
                </a:lnTo>
                <a:lnTo>
                  <a:pt x="2" y="124"/>
                </a:lnTo>
                <a:lnTo>
                  <a:pt x="1" y="121"/>
                </a:lnTo>
                <a:lnTo>
                  <a:pt x="1" y="118"/>
                </a:lnTo>
                <a:lnTo>
                  <a:pt x="0" y="115"/>
                </a:lnTo>
                <a:lnTo>
                  <a:pt x="0" y="111"/>
                </a:lnTo>
                <a:lnTo>
                  <a:pt x="0" y="108"/>
                </a:lnTo>
                <a:lnTo>
                  <a:pt x="1" y="104"/>
                </a:lnTo>
                <a:lnTo>
                  <a:pt x="2" y="100"/>
                </a:lnTo>
                <a:lnTo>
                  <a:pt x="3" y="97"/>
                </a:lnTo>
                <a:lnTo>
                  <a:pt x="5" y="93"/>
                </a:lnTo>
                <a:lnTo>
                  <a:pt x="6" y="89"/>
                </a:lnTo>
                <a:lnTo>
                  <a:pt x="9" y="84"/>
                </a:lnTo>
                <a:lnTo>
                  <a:pt x="11" y="81"/>
                </a:lnTo>
                <a:lnTo>
                  <a:pt x="14" y="77"/>
                </a:lnTo>
                <a:lnTo>
                  <a:pt x="17" y="73"/>
                </a:lnTo>
                <a:lnTo>
                  <a:pt x="20" y="69"/>
                </a:lnTo>
                <a:lnTo>
                  <a:pt x="23" y="65"/>
                </a:lnTo>
                <a:lnTo>
                  <a:pt x="27" y="61"/>
                </a:lnTo>
                <a:lnTo>
                  <a:pt x="31" y="58"/>
                </a:lnTo>
                <a:lnTo>
                  <a:pt x="36" y="54"/>
                </a:lnTo>
                <a:lnTo>
                  <a:pt x="40" y="50"/>
                </a:lnTo>
                <a:lnTo>
                  <a:pt x="45" y="47"/>
                </a:lnTo>
                <a:lnTo>
                  <a:pt x="50" y="43"/>
                </a:lnTo>
                <a:lnTo>
                  <a:pt x="55" y="40"/>
                </a:lnTo>
                <a:lnTo>
                  <a:pt x="60" y="36"/>
                </a:lnTo>
                <a:lnTo>
                  <a:pt x="66" y="33"/>
                </a:lnTo>
                <a:lnTo>
                  <a:pt x="72" y="30"/>
                </a:lnTo>
                <a:lnTo>
                  <a:pt x="78" y="27"/>
                </a:lnTo>
                <a:lnTo>
                  <a:pt x="84" y="24"/>
                </a:lnTo>
                <a:lnTo>
                  <a:pt x="90" y="21"/>
                </a:lnTo>
                <a:lnTo>
                  <a:pt x="97" y="19"/>
                </a:lnTo>
                <a:lnTo>
                  <a:pt x="104" y="16"/>
                </a:lnTo>
                <a:lnTo>
                  <a:pt x="110" y="14"/>
                </a:lnTo>
                <a:lnTo>
                  <a:pt x="118" y="12"/>
                </a:lnTo>
                <a:lnTo>
                  <a:pt x="125" y="10"/>
                </a:lnTo>
                <a:lnTo>
                  <a:pt x="132" y="8"/>
                </a:lnTo>
                <a:lnTo>
                  <a:pt x="140" y="6"/>
                </a:lnTo>
                <a:lnTo>
                  <a:pt x="148" y="5"/>
                </a:lnTo>
                <a:lnTo>
                  <a:pt x="156" y="3"/>
                </a:lnTo>
                <a:lnTo>
                  <a:pt x="164" y="2"/>
                </a:lnTo>
                <a:lnTo>
                  <a:pt x="172" y="2"/>
                </a:lnTo>
                <a:lnTo>
                  <a:pt x="180" y="1"/>
                </a:lnTo>
                <a:lnTo>
                  <a:pt x="188" y="1"/>
                </a:lnTo>
                <a:lnTo>
                  <a:pt x="197" y="0"/>
                </a:lnTo>
                <a:lnTo>
                  <a:pt x="203" y="1"/>
                </a:lnTo>
                <a:lnTo>
                  <a:pt x="208" y="1"/>
                </a:lnTo>
                <a:lnTo>
                  <a:pt x="214" y="1"/>
                </a:lnTo>
                <a:lnTo>
                  <a:pt x="219" y="1"/>
                </a:lnTo>
                <a:lnTo>
                  <a:pt x="225" y="2"/>
                </a:lnTo>
                <a:lnTo>
                  <a:pt x="230" y="3"/>
                </a:lnTo>
                <a:lnTo>
                  <a:pt x="235" y="3"/>
                </a:lnTo>
                <a:lnTo>
                  <a:pt x="241" y="4"/>
                </a:lnTo>
                <a:lnTo>
                  <a:pt x="216" y="47"/>
                </a:lnTo>
                <a:lnTo>
                  <a:pt x="214" y="45"/>
                </a:lnTo>
                <a:lnTo>
                  <a:pt x="212" y="43"/>
                </a:lnTo>
                <a:lnTo>
                  <a:pt x="210" y="41"/>
                </a:lnTo>
                <a:lnTo>
                  <a:pt x="208" y="40"/>
                </a:lnTo>
                <a:lnTo>
                  <a:pt x="206" y="38"/>
                </a:lnTo>
                <a:lnTo>
                  <a:pt x="204" y="36"/>
                </a:lnTo>
                <a:lnTo>
                  <a:pt x="202" y="35"/>
                </a:lnTo>
                <a:lnTo>
                  <a:pt x="199" y="34"/>
                </a:lnTo>
                <a:lnTo>
                  <a:pt x="198" y="33"/>
                </a:lnTo>
                <a:lnTo>
                  <a:pt x="197" y="33"/>
                </a:lnTo>
                <a:lnTo>
                  <a:pt x="195" y="32"/>
                </a:lnTo>
                <a:lnTo>
                  <a:pt x="194" y="32"/>
                </a:lnTo>
                <a:lnTo>
                  <a:pt x="192" y="31"/>
                </a:lnTo>
                <a:lnTo>
                  <a:pt x="191" y="31"/>
                </a:lnTo>
                <a:lnTo>
                  <a:pt x="189" y="30"/>
                </a:lnTo>
                <a:lnTo>
                  <a:pt x="188" y="30"/>
                </a:lnTo>
                <a:lnTo>
                  <a:pt x="186" y="30"/>
                </a:lnTo>
                <a:lnTo>
                  <a:pt x="185" y="29"/>
                </a:lnTo>
                <a:lnTo>
                  <a:pt x="183" y="29"/>
                </a:lnTo>
                <a:lnTo>
                  <a:pt x="181" y="29"/>
                </a:lnTo>
                <a:lnTo>
                  <a:pt x="179" y="29"/>
                </a:lnTo>
                <a:lnTo>
                  <a:pt x="177" y="28"/>
                </a:lnTo>
                <a:lnTo>
                  <a:pt x="176" y="28"/>
                </a:lnTo>
                <a:lnTo>
                  <a:pt x="174" y="28"/>
                </a:lnTo>
                <a:lnTo>
                  <a:pt x="170" y="28"/>
                </a:lnTo>
                <a:lnTo>
                  <a:pt x="167" y="29"/>
                </a:lnTo>
                <a:lnTo>
                  <a:pt x="163" y="29"/>
                </a:lnTo>
                <a:lnTo>
                  <a:pt x="160" y="29"/>
                </a:lnTo>
                <a:lnTo>
                  <a:pt x="157" y="30"/>
                </a:lnTo>
                <a:lnTo>
                  <a:pt x="154" y="30"/>
                </a:lnTo>
                <a:lnTo>
                  <a:pt x="150" y="31"/>
                </a:lnTo>
                <a:lnTo>
                  <a:pt x="147" y="32"/>
                </a:lnTo>
                <a:lnTo>
                  <a:pt x="144" y="33"/>
                </a:lnTo>
                <a:lnTo>
                  <a:pt x="141" y="34"/>
                </a:lnTo>
                <a:lnTo>
                  <a:pt x="138" y="35"/>
                </a:lnTo>
                <a:lnTo>
                  <a:pt x="135" y="36"/>
                </a:lnTo>
                <a:lnTo>
                  <a:pt x="133" y="38"/>
                </a:lnTo>
                <a:lnTo>
                  <a:pt x="130" y="39"/>
                </a:lnTo>
                <a:lnTo>
                  <a:pt x="127" y="41"/>
                </a:lnTo>
                <a:lnTo>
                  <a:pt x="125" y="42"/>
                </a:lnTo>
                <a:lnTo>
                  <a:pt x="122" y="44"/>
                </a:lnTo>
                <a:lnTo>
                  <a:pt x="119" y="46"/>
                </a:lnTo>
                <a:lnTo>
                  <a:pt x="117" y="47"/>
                </a:lnTo>
                <a:lnTo>
                  <a:pt x="115" y="49"/>
                </a:lnTo>
                <a:lnTo>
                  <a:pt x="112" y="51"/>
                </a:lnTo>
                <a:lnTo>
                  <a:pt x="110" y="53"/>
                </a:lnTo>
                <a:lnTo>
                  <a:pt x="108" y="55"/>
                </a:lnTo>
                <a:lnTo>
                  <a:pt x="106" y="58"/>
                </a:lnTo>
                <a:lnTo>
                  <a:pt x="104" y="60"/>
                </a:lnTo>
                <a:lnTo>
                  <a:pt x="102" y="62"/>
                </a:lnTo>
                <a:lnTo>
                  <a:pt x="100" y="64"/>
                </a:lnTo>
                <a:lnTo>
                  <a:pt x="98" y="67"/>
                </a:lnTo>
                <a:lnTo>
                  <a:pt x="96" y="69"/>
                </a:lnTo>
                <a:lnTo>
                  <a:pt x="94" y="72"/>
                </a:lnTo>
                <a:lnTo>
                  <a:pt x="93" y="74"/>
                </a:lnTo>
                <a:lnTo>
                  <a:pt x="91" y="77"/>
                </a:lnTo>
                <a:lnTo>
                  <a:pt x="89" y="80"/>
                </a:lnTo>
                <a:lnTo>
                  <a:pt x="88" y="83"/>
                </a:lnTo>
                <a:lnTo>
                  <a:pt x="86" y="86"/>
                </a:lnTo>
                <a:lnTo>
                  <a:pt x="85" y="89"/>
                </a:lnTo>
                <a:lnTo>
                  <a:pt x="84" y="91"/>
                </a:lnTo>
                <a:lnTo>
                  <a:pt x="83" y="94"/>
                </a:lnTo>
                <a:lnTo>
                  <a:pt x="83" y="96"/>
                </a:lnTo>
                <a:lnTo>
                  <a:pt x="82" y="99"/>
                </a:lnTo>
                <a:lnTo>
                  <a:pt x="82" y="101"/>
                </a:lnTo>
                <a:lnTo>
                  <a:pt x="82" y="103"/>
                </a:lnTo>
                <a:lnTo>
                  <a:pt x="82" y="106"/>
                </a:lnTo>
                <a:lnTo>
                  <a:pt x="82" y="108"/>
                </a:lnTo>
                <a:lnTo>
                  <a:pt x="82" y="110"/>
                </a:lnTo>
                <a:lnTo>
                  <a:pt x="83" y="112"/>
                </a:lnTo>
                <a:lnTo>
                  <a:pt x="83" y="113"/>
                </a:lnTo>
                <a:lnTo>
                  <a:pt x="84" y="115"/>
                </a:lnTo>
                <a:lnTo>
                  <a:pt x="85" y="117"/>
                </a:lnTo>
                <a:lnTo>
                  <a:pt x="86" y="118"/>
                </a:lnTo>
                <a:lnTo>
                  <a:pt x="87" y="120"/>
                </a:lnTo>
                <a:lnTo>
                  <a:pt x="89" y="121"/>
                </a:lnTo>
                <a:lnTo>
                  <a:pt x="91" y="122"/>
                </a:lnTo>
                <a:lnTo>
                  <a:pt x="92" y="123"/>
                </a:lnTo>
                <a:lnTo>
                  <a:pt x="94" y="124"/>
                </a:lnTo>
                <a:lnTo>
                  <a:pt x="96" y="125"/>
                </a:lnTo>
                <a:lnTo>
                  <a:pt x="99" y="126"/>
                </a:lnTo>
                <a:lnTo>
                  <a:pt x="101" y="127"/>
                </a:lnTo>
                <a:lnTo>
                  <a:pt x="104" y="127"/>
                </a:lnTo>
                <a:lnTo>
                  <a:pt x="106" y="128"/>
                </a:lnTo>
                <a:lnTo>
                  <a:pt x="109" y="128"/>
                </a:lnTo>
                <a:lnTo>
                  <a:pt x="112" y="128"/>
                </a:lnTo>
                <a:lnTo>
                  <a:pt x="115" y="129"/>
                </a:lnTo>
                <a:lnTo>
                  <a:pt x="119" y="129"/>
                </a:lnTo>
                <a:lnTo>
                  <a:pt x="121" y="129"/>
                </a:lnTo>
                <a:lnTo>
                  <a:pt x="124" y="129"/>
                </a:lnTo>
                <a:lnTo>
                  <a:pt x="126" y="128"/>
                </a:lnTo>
                <a:lnTo>
                  <a:pt x="129" y="128"/>
                </a:lnTo>
                <a:lnTo>
                  <a:pt x="131" y="128"/>
                </a:lnTo>
                <a:lnTo>
                  <a:pt x="134" y="127"/>
                </a:lnTo>
                <a:lnTo>
                  <a:pt x="136" y="127"/>
                </a:lnTo>
                <a:lnTo>
                  <a:pt x="138" y="126"/>
                </a:lnTo>
                <a:lnTo>
                  <a:pt x="141" y="126"/>
                </a:lnTo>
                <a:lnTo>
                  <a:pt x="143" y="125"/>
                </a:lnTo>
                <a:lnTo>
                  <a:pt x="145" y="125"/>
                </a:lnTo>
                <a:lnTo>
                  <a:pt x="148" y="124"/>
                </a:lnTo>
                <a:lnTo>
                  <a:pt x="152" y="122"/>
                </a:lnTo>
                <a:lnTo>
                  <a:pt x="156" y="121"/>
                </a:lnTo>
                <a:lnTo>
                  <a:pt x="160" y="119"/>
                </a:lnTo>
                <a:lnTo>
                  <a:pt x="164" y="118"/>
                </a:lnTo>
                <a:lnTo>
                  <a:pt x="167" y="116"/>
                </a:lnTo>
                <a:lnTo>
                  <a:pt x="170" y="115"/>
                </a:lnTo>
                <a:lnTo>
                  <a:pt x="173" y="114"/>
                </a:lnTo>
                <a:lnTo>
                  <a:pt x="175" y="112"/>
                </a:lnTo>
                <a:lnTo>
                  <a:pt x="177" y="111"/>
                </a:lnTo>
                <a:lnTo>
                  <a:pt x="178" y="111"/>
                </a:lnTo>
                <a:lnTo>
                  <a:pt x="157" y="147"/>
                </a:lnTo>
                <a:close/>
              </a:path>
            </a:pathLst>
          </a:custGeom>
          <a:solidFill>
            <a:srgbClr val="00593C"/>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303174" name="Freeform 5">
            <a:extLst>
              <a:ext uri="{FF2B5EF4-FFF2-40B4-BE49-F238E27FC236}">
                <a16:creationId xmlns:a16="http://schemas.microsoft.com/office/drawing/2014/main" id="{71CBC459-2695-4C05-8883-57234732B227}"/>
              </a:ext>
            </a:extLst>
          </xdr:cNvPr>
          <xdr:cNvSpPr>
            <a:spLocks/>
          </xdr:cNvSpPr>
        </xdr:nvSpPr>
        <xdr:spPr bwMode="auto">
          <a:xfrm>
            <a:off x="678" y="1603"/>
            <a:ext cx="151" cy="150"/>
          </a:xfrm>
          <a:custGeom>
            <a:avLst/>
            <a:gdLst>
              <a:gd name="T0" fmla="*/ 2 w 185"/>
              <a:gd name="T1" fmla="*/ 0 h 152"/>
              <a:gd name="T2" fmla="*/ 2 w 185"/>
              <a:gd name="T3" fmla="*/ 0 h 152"/>
              <a:gd name="T4" fmla="*/ 2 w 185"/>
              <a:gd name="T5" fmla="*/ 38 h 152"/>
              <a:gd name="T6" fmla="*/ 2 w 185"/>
              <a:gd name="T7" fmla="*/ 38 h 152"/>
              <a:gd name="T8" fmla="*/ 2 w 185"/>
              <a:gd name="T9" fmla="*/ 38 h 152"/>
              <a:gd name="T10" fmla="*/ 2 w 185"/>
              <a:gd name="T11" fmla="*/ 38 h 152"/>
              <a:gd name="T12" fmla="*/ 2 w 185"/>
              <a:gd name="T13" fmla="*/ 38 h 152"/>
              <a:gd name="T14" fmla="*/ 2 w 185"/>
              <a:gd name="T15" fmla="*/ 38 h 152"/>
              <a:gd name="T16" fmla="*/ 2 w 185"/>
              <a:gd name="T17" fmla="*/ 38 h 152"/>
              <a:gd name="T18" fmla="*/ 2 w 185"/>
              <a:gd name="T19" fmla="*/ 38 h 152"/>
              <a:gd name="T20" fmla="*/ 2 w 185"/>
              <a:gd name="T21" fmla="*/ 38 h 152"/>
              <a:gd name="T22" fmla="*/ 2 w 185"/>
              <a:gd name="T23" fmla="*/ 38 h 152"/>
              <a:gd name="T24" fmla="*/ 2 w 185"/>
              <a:gd name="T25" fmla="*/ 38 h 152"/>
              <a:gd name="T26" fmla="*/ 2 w 185"/>
              <a:gd name="T27" fmla="*/ 38 h 152"/>
              <a:gd name="T28" fmla="*/ 2 w 185"/>
              <a:gd name="T29" fmla="*/ 38 h 152"/>
              <a:gd name="T30" fmla="*/ 2 w 185"/>
              <a:gd name="T31" fmla="*/ 38 h 152"/>
              <a:gd name="T32" fmla="*/ 2 w 185"/>
              <a:gd name="T33" fmla="*/ 38 h 152"/>
              <a:gd name="T34" fmla="*/ 2 w 185"/>
              <a:gd name="T35" fmla="*/ 38 h 152"/>
              <a:gd name="T36" fmla="*/ 2 w 185"/>
              <a:gd name="T37" fmla="*/ 38 h 152"/>
              <a:gd name="T38" fmla="*/ 2 w 185"/>
              <a:gd name="T39" fmla="*/ 38 h 152"/>
              <a:gd name="T40" fmla="*/ 2 w 185"/>
              <a:gd name="T41" fmla="*/ 38 h 152"/>
              <a:gd name="T42" fmla="*/ 0 w 185"/>
              <a:gd name="T43" fmla="*/ 38 h 152"/>
              <a:gd name="T44" fmla="*/ 2 w 185"/>
              <a:gd name="T45" fmla="*/ 0 h 152"/>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w 185"/>
              <a:gd name="T70" fmla="*/ 0 h 152"/>
              <a:gd name="T71" fmla="*/ 185 w 185"/>
              <a:gd name="T72" fmla="*/ 152 h 152"/>
            </a:gdLst>
            <a:ahLst/>
            <a:cxnLst>
              <a:cxn ang="T46">
                <a:pos x="T0" y="T1"/>
              </a:cxn>
              <a:cxn ang="T47">
                <a:pos x="T2" y="T3"/>
              </a:cxn>
              <a:cxn ang="T48">
                <a:pos x="T4" y="T5"/>
              </a:cxn>
              <a:cxn ang="T49">
                <a:pos x="T6" y="T7"/>
              </a:cxn>
              <a:cxn ang="T50">
                <a:pos x="T8" y="T9"/>
              </a:cxn>
              <a:cxn ang="T51">
                <a:pos x="T10" y="T11"/>
              </a:cxn>
              <a:cxn ang="T52">
                <a:pos x="T12" y="T13"/>
              </a:cxn>
              <a:cxn ang="T53">
                <a:pos x="T14" y="T15"/>
              </a:cxn>
              <a:cxn ang="T54">
                <a:pos x="T16" y="T17"/>
              </a:cxn>
              <a:cxn ang="T55">
                <a:pos x="T18" y="T19"/>
              </a:cxn>
              <a:cxn ang="T56">
                <a:pos x="T20" y="T21"/>
              </a:cxn>
              <a:cxn ang="T57">
                <a:pos x="T22" y="T23"/>
              </a:cxn>
              <a:cxn ang="T58">
                <a:pos x="T24" y="T25"/>
              </a:cxn>
              <a:cxn ang="T59">
                <a:pos x="T26" y="T27"/>
              </a:cxn>
              <a:cxn ang="T60">
                <a:pos x="T28" y="T29"/>
              </a:cxn>
              <a:cxn ang="T61">
                <a:pos x="T30" y="T31"/>
              </a:cxn>
              <a:cxn ang="T62">
                <a:pos x="T32" y="T33"/>
              </a:cxn>
              <a:cxn ang="T63">
                <a:pos x="T34" y="T35"/>
              </a:cxn>
              <a:cxn ang="T64">
                <a:pos x="T36" y="T37"/>
              </a:cxn>
              <a:cxn ang="T65">
                <a:pos x="T38" y="T39"/>
              </a:cxn>
              <a:cxn ang="T66">
                <a:pos x="T40" y="T41"/>
              </a:cxn>
              <a:cxn ang="T67">
                <a:pos x="T42" y="T43"/>
              </a:cxn>
              <a:cxn ang="T68">
                <a:pos x="T44" y="T45"/>
              </a:cxn>
            </a:cxnLst>
            <a:rect l="T69" t="T70" r="T71" b="T72"/>
            <a:pathLst>
              <a:path w="185" h="152">
                <a:moveTo>
                  <a:pt x="90" y="0"/>
                </a:moveTo>
                <a:lnTo>
                  <a:pt x="169" y="0"/>
                </a:lnTo>
                <a:lnTo>
                  <a:pt x="96" y="123"/>
                </a:lnTo>
                <a:lnTo>
                  <a:pt x="123" y="123"/>
                </a:lnTo>
                <a:lnTo>
                  <a:pt x="128" y="123"/>
                </a:lnTo>
                <a:lnTo>
                  <a:pt x="132" y="123"/>
                </a:lnTo>
                <a:lnTo>
                  <a:pt x="136" y="123"/>
                </a:lnTo>
                <a:lnTo>
                  <a:pt x="139" y="123"/>
                </a:lnTo>
                <a:lnTo>
                  <a:pt x="143" y="123"/>
                </a:lnTo>
                <a:lnTo>
                  <a:pt x="147" y="123"/>
                </a:lnTo>
                <a:lnTo>
                  <a:pt x="150" y="123"/>
                </a:lnTo>
                <a:lnTo>
                  <a:pt x="154" y="122"/>
                </a:lnTo>
                <a:lnTo>
                  <a:pt x="157" y="122"/>
                </a:lnTo>
                <a:lnTo>
                  <a:pt x="161" y="122"/>
                </a:lnTo>
                <a:lnTo>
                  <a:pt x="165" y="122"/>
                </a:lnTo>
                <a:lnTo>
                  <a:pt x="168" y="121"/>
                </a:lnTo>
                <a:lnTo>
                  <a:pt x="172" y="121"/>
                </a:lnTo>
                <a:lnTo>
                  <a:pt x="176" y="121"/>
                </a:lnTo>
                <a:lnTo>
                  <a:pt x="181" y="120"/>
                </a:lnTo>
                <a:lnTo>
                  <a:pt x="185" y="120"/>
                </a:lnTo>
                <a:lnTo>
                  <a:pt x="166" y="152"/>
                </a:lnTo>
                <a:lnTo>
                  <a:pt x="0" y="152"/>
                </a:lnTo>
                <a:lnTo>
                  <a:pt x="90" y="0"/>
                </a:lnTo>
                <a:close/>
              </a:path>
            </a:pathLst>
          </a:custGeom>
          <a:solidFill>
            <a:srgbClr val="00593C"/>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303175" name="Freeform 6">
            <a:extLst>
              <a:ext uri="{FF2B5EF4-FFF2-40B4-BE49-F238E27FC236}">
                <a16:creationId xmlns:a16="http://schemas.microsoft.com/office/drawing/2014/main" id="{34A9962A-A567-4B5A-9A80-B8E7E1A7EB8A}"/>
              </a:ext>
            </a:extLst>
          </xdr:cNvPr>
          <xdr:cNvSpPr>
            <a:spLocks/>
          </xdr:cNvSpPr>
        </xdr:nvSpPr>
        <xdr:spPr bwMode="auto">
          <a:xfrm>
            <a:off x="527" y="1598"/>
            <a:ext cx="197" cy="156"/>
          </a:xfrm>
          <a:custGeom>
            <a:avLst/>
            <a:gdLst>
              <a:gd name="T0" fmla="*/ 2 w 241"/>
              <a:gd name="T1" fmla="*/ 39 h 158"/>
              <a:gd name="T2" fmla="*/ 2 w 241"/>
              <a:gd name="T3" fmla="*/ 39 h 158"/>
              <a:gd name="T4" fmla="*/ 2 w 241"/>
              <a:gd name="T5" fmla="*/ 39 h 158"/>
              <a:gd name="T6" fmla="*/ 2 w 241"/>
              <a:gd name="T7" fmla="*/ 39 h 158"/>
              <a:gd name="T8" fmla="*/ 2 w 241"/>
              <a:gd name="T9" fmla="*/ 39 h 158"/>
              <a:gd name="T10" fmla="*/ 2 w 241"/>
              <a:gd name="T11" fmla="*/ 39 h 158"/>
              <a:gd name="T12" fmla="*/ 2 w 241"/>
              <a:gd name="T13" fmla="*/ 39 h 158"/>
              <a:gd name="T14" fmla="*/ 2 w 241"/>
              <a:gd name="T15" fmla="*/ 39 h 158"/>
              <a:gd name="T16" fmla="*/ 2 w 241"/>
              <a:gd name="T17" fmla="*/ 39 h 158"/>
              <a:gd name="T18" fmla="*/ 2 w 241"/>
              <a:gd name="T19" fmla="*/ 39 h 158"/>
              <a:gd name="T20" fmla="*/ 2 w 241"/>
              <a:gd name="T21" fmla="*/ 39 h 158"/>
              <a:gd name="T22" fmla="*/ 2 w 241"/>
              <a:gd name="T23" fmla="*/ 39 h 158"/>
              <a:gd name="T24" fmla="*/ 2 w 241"/>
              <a:gd name="T25" fmla="*/ 39 h 158"/>
              <a:gd name="T26" fmla="*/ 2 w 241"/>
              <a:gd name="T27" fmla="*/ 39 h 158"/>
              <a:gd name="T28" fmla="*/ 2 w 241"/>
              <a:gd name="T29" fmla="*/ 39 h 158"/>
              <a:gd name="T30" fmla="*/ 2 w 241"/>
              <a:gd name="T31" fmla="*/ 39 h 158"/>
              <a:gd name="T32" fmla="*/ 2 w 241"/>
              <a:gd name="T33" fmla="*/ 39 h 158"/>
              <a:gd name="T34" fmla="*/ 2 w 241"/>
              <a:gd name="T35" fmla="*/ 39 h 158"/>
              <a:gd name="T36" fmla="*/ 2 w 241"/>
              <a:gd name="T37" fmla="*/ 39 h 158"/>
              <a:gd name="T38" fmla="*/ 2 w 241"/>
              <a:gd name="T39" fmla="*/ 39 h 158"/>
              <a:gd name="T40" fmla="*/ 2 w 241"/>
              <a:gd name="T41" fmla="*/ 39 h 158"/>
              <a:gd name="T42" fmla="*/ 2 w 241"/>
              <a:gd name="T43" fmla="*/ 39 h 158"/>
              <a:gd name="T44" fmla="*/ 2 w 241"/>
              <a:gd name="T45" fmla="*/ 39 h 158"/>
              <a:gd name="T46" fmla="*/ 2 w 241"/>
              <a:gd name="T47" fmla="*/ 39 h 158"/>
              <a:gd name="T48" fmla="*/ 2 w 241"/>
              <a:gd name="T49" fmla="*/ 39 h 158"/>
              <a:gd name="T50" fmla="*/ 2 w 241"/>
              <a:gd name="T51" fmla="*/ 39 h 158"/>
              <a:gd name="T52" fmla="*/ 2 w 241"/>
              <a:gd name="T53" fmla="*/ 25 h 158"/>
              <a:gd name="T54" fmla="*/ 2 w 241"/>
              <a:gd name="T55" fmla="*/ 12 h 158"/>
              <a:gd name="T56" fmla="*/ 2 w 241"/>
              <a:gd name="T57" fmla="*/ 4 h 158"/>
              <a:gd name="T58" fmla="*/ 2 w 241"/>
              <a:gd name="T59" fmla="*/ 1 h 158"/>
              <a:gd name="T60" fmla="*/ 2 w 241"/>
              <a:gd name="T61" fmla="*/ 1 h 158"/>
              <a:gd name="T62" fmla="*/ 2 w 241"/>
              <a:gd name="T63" fmla="*/ 6 h 158"/>
              <a:gd name="T64" fmla="*/ 2 w 241"/>
              <a:gd name="T65" fmla="*/ 39 h 158"/>
              <a:gd name="T66" fmla="*/ 2 w 241"/>
              <a:gd name="T67" fmla="*/ 33 h 158"/>
              <a:gd name="T68" fmla="*/ 2 w 241"/>
              <a:gd name="T69" fmla="*/ 29 h 158"/>
              <a:gd name="T70" fmla="*/ 2 w 241"/>
              <a:gd name="T71" fmla="*/ 30 h 158"/>
              <a:gd name="T72" fmla="*/ 2 w 241"/>
              <a:gd name="T73" fmla="*/ 33 h 158"/>
              <a:gd name="T74" fmla="*/ 2 w 241"/>
              <a:gd name="T75" fmla="*/ 37 h 158"/>
              <a:gd name="T76" fmla="*/ 2 w 241"/>
              <a:gd name="T77" fmla="*/ 39 h 158"/>
              <a:gd name="T78" fmla="*/ 2 w 241"/>
              <a:gd name="T79" fmla="*/ 39 h 158"/>
              <a:gd name="T80" fmla="*/ 2 w 241"/>
              <a:gd name="T81" fmla="*/ 39 h 158"/>
              <a:gd name="T82" fmla="*/ 2 w 241"/>
              <a:gd name="T83" fmla="*/ 39 h 158"/>
              <a:gd name="T84" fmla="*/ 2 w 241"/>
              <a:gd name="T85" fmla="*/ 39 h 158"/>
              <a:gd name="T86" fmla="*/ 2 w 241"/>
              <a:gd name="T87" fmla="*/ 39 h 158"/>
              <a:gd name="T88" fmla="*/ 2 w 241"/>
              <a:gd name="T89" fmla="*/ 39 h 158"/>
              <a:gd name="T90" fmla="*/ 2 w 241"/>
              <a:gd name="T91" fmla="*/ 39 h 158"/>
              <a:gd name="T92" fmla="*/ 2 w 241"/>
              <a:gd name="T93" fmla="*/ 39 h 158"/>
              <a:gd name="T94" fmla="*/ 2 w 241"/>
              <a:gd name="T95" fmla="*/ 39 h 158"/>
              <a:gd name="T96" fmla="*/ 2 w 241"/>
              <a:gd name="T97" fmla="*/ 39 h 158"/>
              <a:gd name="T98" fmla="*/ 2 w 241"/>
              <a:gd name="T99" fmla="*/ 39 h 158"/>
              <a:gd name="T100" fmla="*/ 2 w 241"/>
              <a:gd name="T101" fmla="*/ 39 h 158"/>
              <a:gd name="T102" fmla="*/ 2 w 241"/>
              <a:gd name="T103" fmla="*/ 39 h 158"/>
              <a:gd name="T104" fmla="*/ 2 w 241"/>
              <a:gd name="T105" fmla="*/ 39 h 158"/>
              <a:gd name="T106" fmla="*/ 2 w 241"/>
              <a:gd name="T107" fmla="*/ 39 h 158"/>
              <a:gd name="T108" fmla="*/ 2 w 241"/>
              <a:gd name="T109" fmla="*/ 39 h 158"/>
              <a:gd name="T110" fmla="*/ 2 w 241"/>
              <a:gd name="T111" fmla="*/ 39 h 158"/>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w 241"/>
              <a:gd name="T169" fmla="*/ 0 h 158"/>
              <a:gd name="T170" fmla="*/ 241 w 241"/>
              <a:gd name="T171" fmla="*/ 158 h 158"/>
            </a:gdLst>
            <a:ahLst/>
            <a:cxnLst>
              <a:cxn ang="T112">
                <a:pos x="T0" y="T1"/>
              </a:cxn>
              <a:cxn ang="T113">
                <a:pos x="T2" y="T3"/>
              </a:cxn>
              <a:cxn ang="T114">
                <a:pos x="T4" y="T5"/>
              </a:cxn>
              <a:cxn ang="T115">
                <a:pos x="T6" y="T7"/>
              </a:cxn>
              <a:cxn ang="T116">
                <a:pos x="T8" y="T9"/>
              </a:cxn>
              <a:cxn ang="T117">
                <a:pos x="T10" y="T11"/>
              </a:cxn>
              <a:cxn ang="T118">
                <a:pos x="T12" y="T13"/>
              </a:cxn>
              <a:cxn ang="T119">
                <a:pos x="T14" y="T15"/>
              </a:cxn>
              <a:cxn ang="T120">
                <a:pos x="T16" y="T17"/>
              </a:cxn>
              <a:cxn ang="T121">
                <a:pos x="T18" y="T19"/>
              </a:cxn>
              <a:cxn ang="T122">
                <a:pos x="T20" y="T21"/>
              </a:cxn>
              <a:cxn ang="T123">
                <a:pos x="T22" y="T23"/>
              </a:cxn>
              <a:cxn ang="T124">
                <a:pos x="T24" y="T25"/>
              </a:cxn>
              <a:cxn ang="T125">
                <a:pos x="T26" y="T27"/>
              </a:cxn>
              <a:cxn ang="T126">
                <a:pos x="T28" y="T29"/>
              </a:cxn>
              <a:cxn ang="T127">
                <a:pos x="T30" y="T31"/>
              </a:cxn>
              <a:cxn ang="T128">
                <a:pos x="T32" y="T33"/>
              </a:cxn>
              <a:cxn ang="T129">
                <a:pos x="T34" y="T35"/>
              </a:cxn>
              <a:cxn ang="T130">
                <a:pos x="T36" y="T37"/>
              </a:cxn>
              <a:cxn ang="T131">
                <a:pos x="T38" y="T39"/>
              </a:cxn>
              <a:cxn ang="T132">
                <a:pos x="T40" y="T41"/>
              </a:cxn>
              <a:cxn ang="T133">
                <a:pos x="T42" y="T43"/>
              </a:cxn>
              <a:cxn ang="T134">
                <a:pos x="T44" y="T45"/>
              </a:cxn>
              <a:cxn ang="T135">
                <a:pos x="T46" y="T47"/>
              </a:cxn>
              <a:cxn ang="T136">
                <a:pos x="T48" y="T49"/>
              </a:cxn>
              <a:cxn ang="T137">
                <a:pos x="T50" y="T51"/>
              </a:cxn>
              <a:cxn ang="T138">
                <a:pos x="T52" y="T53"/>
              </a:cxn>
              <a:cxn ang="T139">
                <a:pos x="T54" y="T55"/>
              </a:cxn>
              <a:cxn ang="T140">
                <a:pos x="T56" y="T57"/>
              </a:cxn>
              <a:cxn ang="T141">
                <a:pos x="T58" y="T59"/>
              </a:cxn>
              <a:cxn ang="T142">
                <a:pos x="T60" y="T61"/>
              </a:cxn>
              <a:cxn ang="T143">
                <a:pos x="T62" y="T63"/>
              </a:cxn>
              <a:cxn ang="T144">
                <a:pos x="T64" y="T65"/>
              </a:cxn>
              <a:cxn ang="T145">
                <a:pos x="T66" y="T67"/>
              </a:cxn>
              <a:cxn ang="T146">
                <a:pos x="T68" y="T69"/>
              </a:cxn>
              <a:cxn ang="T147">
                <a:pos x="T70" y="T71"/>
              </a:cxn>
              <a:cxn ang="T148">
                <a:pos x="T72" y="T73"/>
              </a:cxn>
              <a:cxn ang="T149">
                <a:pos x="T74" y="T75"/>
              </a:cxn>
              <a:cxn ang="T150">
                <a:pos x="T76" y="T77"/>
              </a:cxn>
              <a:cxn ang="T151">
                <a:pos x="T78" y="T79"/>
              </a:cxn>
              <a:cxn ang="T152">
                <a:pos x="T80" y="T81"/>
              </a:cxn>
              <a:cxn ang="T153">
                <a:pos x="T82" y="T83"/>
              </a:cxn>
              <a:cxn ang="T154">
                <a:pos x="T84" y="T85"/>
              </a:cxn>
              <a:cxn ang="T155">
                <a:pos x="T86" y="T87"/>
              </a:cxn>
              <a:cxn ang="T156">
                <a:pos x="T88" y="T89"/>
              </a:cxn>
              <a:cxn ang="T157">
                <a:pos x="T90" y="T91"/>
              </a:cxn>
              <a:cxn ang="T158">
                <a:pos x="T92" y="T93"/>
              </a:cxn>
              <a:cxn ang="T159">
                <a:pos x="T94" y="T95"/>
              </a:cxn>
              <a:cxn ang="T160">
                <a:pos x="T96" y="T97"/>
              </a:cxn>
              <a:cxn ang="T161">
                <a:pos x="T98" y="T99"/>
              </a:cxn>
              <a:cxn ang="T162">
                <a:pos x="T100" y="T101"/>
              </a:cxn>
              <a:cxn ang="T163">
                <a:pos x="T102" y="T103"/>
              </a:cxn>
              <a:cxn ang="T164">
                <a:pos x="T104" y="T105"/>
              </a:cxn>
              <a:cxn ang="T165">
                <a:pos x="T106" y="T107"/>
              </a:cxn>
              <a:cxn ang="T166">
                <a:pos x="T108" y="T109"/>
              </a:cxn>
              <a:cxn ang="T167">
                <a:pos x="T110" y="T111"/>
              </a:cxn>
            </a:cxnLst>
            <a:rect l="T168" t="T169" r="T170" b="T171"/>
            <a:pathLst>
              <a:path w="241" h="158">
                <a:moveTo>
                  <a:pt x="70" y="158"/>
                </a:moveTo>
                <a:lnTo>
                  <a:pt x="65" y="158"/>
                </a:lnTo>
                <a:lnTo>
                  <a:pt x="61" y="158"/>
                </a:lnTo>
                <a:lnTo>
                  <a:pt x="56" y="158"/>
                </a:lnTo>
                <a:lnTo>
                  <a:pt x="51" y="158"/>
                </a:lnTo>
                <a:lnTo>
                  <a:pt x="47" y="157"/>
                </a:lnTo>
                <a:lnTo>
                  <a:pt x="42" y="157"/>
                </a:lnTo>
                <a:lnTo>
                  <a:pt x="38" y="157"/>
                </a:lnTo>
                <a:lnTo>
                  <a:pt x="33" y="156"/>
                </a:lnTo>
                <a:lnTo>
                  <a:pt x="29" y="155"/>
                </a:lnTo>
                <a:lnTo>
                  <a:pt x="24" y="155"/>
                </a:lnTo>
                <a:lnTo>
                  <a:pt x="20" y="154"/>
                </a:lnTo>
                <a:lnTo>
                  <a:pt x="16" y="153"/>
                </a:lnTo>
                <a:lnTo>
                  <a:pt x="11" y="152"/>
                </a:lnTo>
                <a:lnTo>
                  <a:pt x="7" y="151"/>
                </a:lnTo>
                <a:lnTo>
                  <a:pt x="3" y="150"/>
                </a:lnTo>
                <a:lnTo>
                  <a:pt x="0" y="149"/>
                </a:lnTo>
                <a:lnTo>
                  <a:pt x="22" y="111"/>
                </a:lnTo>
                <a:lnTo>
                  <a:pt x="24" y="112"/>
                </a:lnTo>
                <a:lnTo>
                  <a:pt x="25" y="113"/>
                </a:lnTo>
                <a:lnTo>
                  <a:pt x="27" y="114"/>
                </a:lnTo>
                <a:lnTo>
                  <a:pt x="28" y="115"/>
                </a:lnTo>
                <a:lnTo>
                  <a:pt x="30" y="116"/>
                </a:lnTo>
                <a:lnTo>
                  <a:pt x="32" y="117"/>
                </a:lnTo>
                <a:lnTo>
                  <a:pt x="33" y="118"/>
                </a:lnTo>
                <a:lnTo>
                  <a:pt x="35" y="118"/>
                </a:lnTo>
                <a:lnTo>
                  <a:pt x="37" y="119"/>
                </a:lnTo>
                <a:lnTo>
                  <a:pt x="39" y="120"/>
                </a:lnTo>
                <a:lnTo>
                  <a:pt x="40" y="121"/>
                </a:lnTo>
                <a:lnTo>
                  <a:pt x="42" y="121"/>
                </a:lnTo>
                <a:lnTo>
                  <a:pt x="44" y="122"/>
                </a:lnTo>
                <a:lnTo>
                  <a:pt x="46" y="123"/>
                </a:lnTo>
                <a:lnTo>
                  <a:pt x="48" y="123"/>
                </a:lnTo>
                <a:lnTo>
                  <a:pt x="50" y="124"/>
                </a:lnTo>
                <a:lnTo>
                  <a:pt x="52" y="125"/>
                </a:lnTo>
                <a:lnTo>
                  <a:pt x="54" y="125"/>
                </a:lnTo>
                <a:lnTo>
                  <a:pt x="57" y="126"/>
                </a:lnTo>
                <a:lnTo>
                  <a:pt x="59" y="126"/>
                </a:lnTo>
                <a:lnTo>
                  <a:pt x="61" y="126"/>
                </a:lnTo>
                <a:lnTo>
                  <a:pt x="63" y="127"/>
                </a:lnTo>
                <a:lnTo>
                  <a:pt x="66" y="127"/>
                </a:lnTo>
                <a:lnTo>
                  <a:pt x="68" y="127"/>
                </a:lnTo>
                <a:lnTo>
                  <a:pt x="73" y="128"/>
                </a:lnTo>
                <a:lnTo>
                  <a:pt x="77" y="128"/>
                </a:lnTo>
                <a:lnTo>
                  <a:pt x="82" y="129"/>
                </a:lnTo>
                <a:lnTo>
                  <a:pt x="87" y="129"/>
                </a:lnTo>
                <a:lnTo>
                  <a:pt x="91" y="129"/>
                </a:lnTo>
                <a:lnTo>
                  <a:pt x="95" y="128"/>
                </a:lnTo>
                <a:lnTo>
                  <a:pt x="99" y="128"/>
                </a:lnTo>
                <a:lnTo>
                  <a:pt x="102" y="128"/>
                </a:lnTo>
                <a:lnTo>
                  <a:pt x="106" y="127"/>
                </a:lnTo>
                <a:lnTo>
                  <a:pt x="109" y="126"/>
                </a:lnTo>
                <a:lnTo>
                  <a:pt x="112" y="125"/>
                </a:lnTo>
                <a:lnTo>
                  <a:pt x="115" y="125"/>
                </a:lnTo>
                <a:lnTo>
                  <a:pt x="117" y="124"/>
                </a:lnTo>
                <a:lnTo>
                  <a:pt x="120" y="123"/>
                </a:lnTo>
                <a:lnTo>
                  <a:pt x="122" y="121"/>
                </a:lnTo>
                <a:lnTo>
                  <a:pt x="124" y="120"/>
                </a:lnTo>
                <a:lnTo>
                  <a:pt x="125" y="119"/>
                </a:lnTo>
                <a:lnTo>
                  <a:pt x="126" y="119"/>
                </a:lnTo>
                <a:lnTo>
                  <a:pt x="127" y="118"/>
                </a:lnTo>
                <a:lnTo>
                  <a:pt x="127" y="117"/>
                </a:lnTo>
                <a:lnTo>
                  <a:pt x="128" y="117"/>
                </a:lnTo>
                <a:lnTo>
                  <a:pt x="128" y="116"/>
                </a:lnTo>
                <a:lnTo>
                  <a:pt x="129" y="115"/>
                </a:lnTo>
                <a:lnTo>
                  <a:pt x="129" y="114"/>
                </a:lnTo>
                <a:lnTo>
                  <a:pt x="130" y="113"/>
                </a:lnTo>
                <a:lnTo>
                  <a:pt x="130" y="112"/>
                </a:lnTo>
                <a:lnTo>
                  <a:pt x="130" y="111"/>
                </a:lnTo>
                <a:lnTo>
                  <a:pt x="130" y="110"/>
                </a:lnTo>
                <a:lnTo>
                  <a:pt x="129" y="109"/>
                </a:lnTo>
                <a:lnTo>
                  <a:pt x="129" y="108"/>
                </a:lnTo>
                <a:lnTo>
                  <a:pt x="128" y="108"/>
                </a:lnTo>
                <a:lnTo>
                  <a:pt x="128" y="107"/>
                </a:lnTo>
                <a:lnTo>
                  <a:pt x="127" y="107"/>
                </a:lnTo>
                <a:lnTo>
                  <a:pt x="127" y="106"/>
                </a:lnTo>
                <a:lnTo>
                  <a:pt x="126" y="106"/>
                </a:lnTo>
                <a:lnTo>
                  <a:pt x="125" y="105"/>
                </a:lnTo>
                <a:lnTo>
                  <a:pt x="124" y="104"/>
                </a:lnTo>
                <a:lnTo>
                  <a:pt x="122" y="104"/>
                </a:lnTo>
                <a:lnTo>
                  <a:pt x="121" y="103"/>
                </a:lnTo>
                <a:lnTo>
                  <a:pt x="119" y="102"/>
                </a:lnTo>
                <a:lnTo>
                  <a:pt x="116" y="101"/>
                </a:lnTo>
                <a:lnTo>
                  <a:pt x="113" y="100"/>
                </a:lnTo>
                <a:lnTo>
                  <a:pt x="111" y="99"/>
                </a:lnTo>
                <a:lnTo>
                  <a:pt x="109" y="99"/>
                </a:lnTo>
                <a:lnTo>
                  <a:pt x="107" y="98"/>
                </a:lnTo>
                <a:lnTo>
                  <a:pt x="105" y="97"/>
                </a:lnTo>
                <a:lnTo>
                  <a:pt x="102" y="97"/>
                </a:lnTo>
                <a:lnTo>
                  <a:pt x="100" y="96"/>
                </a:lnTo>
                <a:lnTo>
                  <a:pt x="97" y="95"/>
                </a:lnTo>
                <a:lnTo>
                  <a:pt x="95" y="94"/>
                </a:lnTo>
                <a:lnTo>
                  <a:pt x="92" y="93"/>
                </a:lnTo>
                <a:lnTo>
                  <a:pt x="89" y="92"/>
                </a:lnTo>
                <a:lnTo>
                  <a:pt x="86" y="91"/>
                </a:lnTo>
                <a:lnTo>
                  <a:pt x="84" y="90"/>
                </a:lnTo>
                <a:lnTo>
                  <a:pt x="81" y="89"/>
                </a:lnTo>
                <a:lnTo>
                  <a:pt x="79" y="88"/>
                </a:lnTo>
                <a:lnTo>
                  <a:pt x="76" y="87"/>
                </a:lnTo>
                <a:lnTo>
                  <a:pt x="74" y="86"/>
                </a:lnTo>
                <a:lnTo>
                  <a:pt x="72" y="85"/>
                </a:lnTo>
                <a:lnTo>
                  <a:pt x="70" y="84"/>
                </a:lnTo>
                <a:lnTo>
                  <a:pt x="68" y="83"/>
                </a:lnTo>
                <a:lnTo>
                  <a:pt x="66" y="82"/>
                </a:lnTo>
                <a:lnTo>
                  <a:pt x="65" y="81"/>
                </a:lnTo>
                <a:lnTo>
                  <a:pt x="63" y="80"/>
                </a:lnTo>
                <a:lnTo>
                  <a:pt x="62" y="78"/>
                </a:lnTo>
                <a:lnTo>
                  <a:pt x="60" y="77"/>
                </a:lnTo>
                <a:lnTo>
                  <a:pt x="59" y="76"/>
                </a:lnTo>
                <a:lnTo>
                  <a:pt x="58" y="74"/>
                </a:lnTo>
                <a:lnTo>
                  <a:pt x="57" y="73"/>
                </a:lnTo>
                <a:lnTo>
                  <a:pt x="56" y="71"/>
                </a:lnTo>
                <a:lnTo>
                  <a:pt x="56" y="70"/>
                </a:lnTo>
                <a:lnTo>
                  <a:pt x="55" y="68"/>
                </a:lnTo>
                <a:lnTo>
                  <a:pt x="55" y="67"/>
                </a:lnTo>
                <a:lnTo>
                  <a:pt x="55" y="65"/>
                </a:lnTo>
                <a:lnTo>
                  <a:pt x="55" y="63"/>
                </a:lnTo>
                <a:lnTo>
                  <a:pt x="55" y="62"/>
                </a:lnTo>
                <a:lnTo>
                  <a:pt x="55" y="60"/>
                </a:lnTo>
                <a:lnTo>
                  <a:pt x="55" y="58"/>
                </a:lnTo>
                <a:lnTo>
                  <a:pt x="56" y="56"/>
                </a:lnTo>
                <a:lnTo>
                  <a:pt x="57" y="54"/>
                </a:lnTo>
                <a:lnTo>
                  <a:pt x="58" y="52"/>
                </a:lnTo>
                <a:lnTo>
                  <a:pt x="59" y="50"/>
                </a:lnTo>
                <a:lnTo>
                  <a:pt x="62" y="46"/>
                </a:lnTo>
                <a:lnTo>
                  <a:pt x="65" y="42"/>
                </a:lnTo>
                <a:lnTo>
                  <a:pt x="68" y="38"/>
                </a:lnTo>
                <a:lnTo>
                  <a:pt x="72" y="34"/>
                </a:lnTo>
                <a:lnTo>
                  <a:pt x="77" y="31"/>
                </a:lnTo>
                <a:lnTo>
                  <a:pt x="81" y="28"/>
                </a:lnTo>
                <a:lnTo>
                  <a:pt x="86" y="25"/>
                </a:lnTo>
                <a:lnTo>
                  <a:pt x="91" y="22"/>
                </a:lnTo>
                <a:lnTo>
                  <a:pt x="96" y="19"/>
                </a:lnTo>
                <a:lnTo>
                  <a:pt x="102" y="17"/>
                </a:lnTo>
                <a:lnTo>
                  <a:pt x="108" y="14"/>
                </a:lnTo>
                <a:lnTo>
                  <a:pt x="114" y="12"/>
                </a:lnTo>
                <a:lnTo>
                  <a:pt x="120" y="10"/>
                </a:lnTo>
                <a:lnTo>
                  <a:pt x="126" y="9"/>
                </a:lnTo>
                <a:lnTo>
                  <a:pt x="133" y="7"/>
                </a:lnTo>
                <a:lnTo>
                  <a:pt x="139" y="6"/>
                </a:lnTo>
                <a:lnTo>
                  <a:pt x="146" y="4"/>
                </a:lnTo>
                <a:lnTo>
                  <a:pt x="153" y="3"/>
                </a:lnTo>
                <a:lnTo>
                  <a:pt x="159" y="2"/>
                </a:lnTo>
                <a:lnTo>
                  <a:pt x="166" y="2"/>
                </a:lnTo>
                <a:lnTo>
                  <a:pt x="173" y="1"/>
                </a:lnTo>
                <a:lnTo>
                  <a:pt x="180" y="1"/>
                </a:lnTo>
                <a:lnTo>
                  <a:pt x="186" y="1"/>
                </a:lnTo>
                <a:lnTo>
                  <a:pt x="193" y="0"/>
                </a:lnTo>
                <a:lnTo>
                  <a:pt x="199" y="1"/>
                </a:lnTo>
                <a:lnTo>
                  <a:pt x="206" y="1"/>
                </a:lnTo>
                <a:lnTo>
                  <a:pt x="212" y="1"/>
                </a:lnTo>
                <a:lnTo>
                  <a:pt x="218" y="2"/>
                </a:lnTo>
                <a:lnTo>
                  <a:pt x="224" y="3"/>
                </a:lnTo>
                <a:lnTo>
                  <a:pt x="230" y="3"/>
                </a:lnTo>
                <a:lnTo>
                  <a:pt x="235" y="5"/>
                </a:lnTo>
                <a:lnTo>
                  <a:pt x="241" y="6"/>
                </a:lnTo>
                <a:lnTo>
                  <a:pt x="218" y="45"/>
                </a:lnTo>
                <a:lnTo>
                  <a:pt x="215" y="43"/>
                </a:lnTo>
                <a:lnTo>
                  <a:pt x="213" y="42"/>
                </a:lnTo>
                <a:lnTo>
                  <a:pt x="210" y="40"/>
                </a:lnTo>
                <a:lnTo>
                  <a:pt x="207" y="39"/>
                </a:lnTo>
                <a:lnTo>
                  <a:pt x="204" y="37"/>
                </a:lnTo>
                <a:lnTo>
                  <a:pt x="201" y="36"/>
                </a:lnTo>
                <a:lnTo>
                  <a:pt x="198" y="35"/>
                </a:lnTo>
                <a:lnTo>
                  <a:pt x="195" y="34"/>
                </a:lnTo>
                <a:lnTo>
                  <a:pt x="192" y="33"/>
                </a:lnTo>
                <a:lnTo>
                  <a:pt x="189" y="32"/>
                </a:lnTo>
                <a:lnTo>
                  <a:pt x="185" y="31"/>
                </a:lnTo>
                <a:lnTo>
                  <a:pt x="182" y="30"/>
                </a:lnTo>
                <a:lnTo>
                  <a:pt x="178" y="30"/>
                </a:lnTo>
                <a:lnTo>
                  <a:pt x="174" y="29"/>
                </a:lnTo>
                <a:lnTo>
                  <a:pt x="170" y="29"/>
                </a:lnTo>
                <a:lnTo>
                  <a:pt x="166" y="29"/>
                </a:lnTo>
                <a:lnTo>
                  <a:pt x="163" y="29"/>
                </a:lnTo>
                <a:lnTo>
                  <a:pt x="159" y="29"/>
                </a:lnTo>
                <a:lnTo>
                  <a:pt x="156" y="30"/>
                </a:lnTo>
                <a:lnTo>
                  <a:pt x="153" y="30"/>
                </a:lnTo>
                <a:lnTo>
                  <a:pt x="150" y="31"/>
                </a:lnTo>
                <a:lnTo>
                  <a:pt x="148" y="31"/>
                </a:lnTo>
                <a:lnTo>
                  <a:pt x="145" y="32"/>
                </a:lnTo>
                <a:lnTo>
                  <a:pt x="143" y="33"/>
                </a:lnTo>
                <a:lnTo>
                  <a:pt x="141" y="34"/>
                </a:lnTo>
                <a:lnTo>
                  <a:pt x="140" y="34"/>
                </a:lnTo>
                <a:lnTo>
                  <a:pt x="138" y="35"/>
                </a:lnTo>
                <a:lnTo>
                  <a:pt x="137" y="36"/>
                </a:lnTo>
                <a:lnTo>
                  <a:pt x="136" y="37"/>
                </a:lnTo>
                <a:lnTo>
                  <a:pt x="135" y="38"/>
                </a:lnTo>
                <a:lnTo>
                  <a:pt x="134" y="39"/>
                </a:lnTo>
                <a:lnTo>
                  <a:pt x="133" y="40"/>
                </a:lnTo>
                <a:lnTo>
                  <a:pt x="133" y="41"/>
                </a:lnTo>
                <a:lnTo>
                  <a:pt x="133" y="42"/>
                </a:lnTo>
                <a:lnTo>
                  <a:pt x="132" y="42"/>
                </a:lnTo>
                <a:lnTo>
                  <a:pt x="132" y="43"/>
                </a:lnTo>
                <a:lnTo>
                  <a:pt x="133" y="44"/>
                </a:lnTo>
                <a:lnTo>
                  <a:pt x="133" y="45"/>
                </a:lnTo>
                <a:lnTo>
                  <a:pt x="134" y="46"/>
                </a:lnTo>
                <a:lnTo>
                  <a:pt x="135" y="47"/>
                </a:lnTo>
                <a:lnTo>
                  <a:pt x="136" y="48"/>
                </a:lnTo>
                <a:lnTo>
                  <a:pt x="137" y="48"/>
                </a:lnTo>
                <a:lnTo>
                  <a:pt x="138" y="49"/>
                </a:lnTo>
                <a:lnTo>
                  <a:pt x="139" y="49"/>
                </a:lnTo>
                <a:lnTo>
                  <a:pt x="141" y="50"/>
                </a:lnTo>
                <a:lnTo>
                  <a:pt x="143" y="51"/>
                </a:lnTo>
                <a:lnTo>
                  <a:pt x="144" y="51"/>
                </a:lnTo>
                <a:lnTo>
                  <a:pt x="146" y="52"/>
                </a:lnTo>
                <a:lnTo>
                  <a:pt x="150" y="54"/>
                </a:lnTo>
                <a:lnTo>
                  <a:pt x="155" y="55"/>
                </a:lnTo>
                <a:lnTo>
                  <a:pt x="160" y="57"/>
                </a:lnTo>
                <a:lnTo>
                  <a:pt x="166" y="58"/>
                </a:lnTo>
                <a:lnTo>
                  <a:pt x="172" y="60"/>
                </a:lnTo>
                <a:lnTo>
                  <a:pt x="179" y="62"/>
                </a:lnTo>
                <a:lnTo>
                  <a:pt x="182" y="64"/>
                </a:lnTo>
                <a:lnTo>
                  <a:pt x="185" y="65"/>
                </a:lnTo>
                <a:lnTo>
                  <a:pt x="187" y="66"/>
                </a:lnTo>
                <a:lnTo>
                  <a:pt x="190" y="67"/>
                </a:lnTo>
                <a:lnTo>
                  <a:pt x="192" y="68"/>
                </a:lnTo>
                <a:lnTo>
                  <a:pt x="195" y="69"/>
                </a:lnTo>
                <a:lnTo>
                  <a:pt x="197" y="70"/>
                </a:lnTo>
                <a:lnTo>
                  <a:pt x="198" y="71"/>
                </a:lnTo>
                <a:lnTo>
                  <a:pt x="200" y="73"/>
                </a:lnTo>
                <a:lnTo>
                  <a:pt x="202" y="74"/>
                </a:lnTo>
                <a:lnTo>
                  <a:pt x="203" y="75"/>
                </a:lnTo>
                <a:lnTo>
                  <a:pt x="204" y="76"/>
                </a:lnTo>
                <a:lnTo>
                  <a:pt x="206" y="78"/>
                </a:lnTo>
                <a:lnTo>
                  <a:pt x="207" y="79"/>
                </a:lnTo>
                <a:lnTo>
                  <a:pt x="207" y="81"/>
                </a:lnTo>
                <a:lnTo>
                  <a:pt x="208" y="82"/>
                </a:lnTo>
                <a:lnTo>
                  <a:pt x="209" y="83"/>
                </a:lnTo>
                <a:lnTo>
                  <a:pt x="209" y="85"/>
                </a:lnTo>
                <a:lnTo>
                  <a:pt x="209" y="86"/>
                </a:lnTo>
                <a:lnTo>
                  <a:pt x="210" y="88"/>
                </a:lnTo>
                <a:lnTo>
                  <a:pt x="210" y="89"/>
                </a:lnTo>
                <a:lnTo>
                  <a:pt x="210" y="91"/>
                </a:lnTo>
                <a:lnTo>
                  <a:pt x="210" y="92"/>
                </a:lnTo>
                <a:lnTo>
                  <a:pt x="210" y="94"/>
                </a:lnTo>
                <a:lnTo>
                  <a:pt x="209" y="95"/>
                </a:lnTo>
                <a:lnTo>
                  <a:pt x="209" y="97"/>
                </a:lnTo>
                <a:lnTo>
                  <a:pt x="208" y="98"/>
                </a:lnTo>
                <a:lnTo>
                  <a:pt x="208" y="100"/>
                </a:lnTo>
                <a:lnTo>
                  <a:pt x="207" y="101"/>
                </a:lnTo>
                <a:lnTo>
                  <a:pt x="206" y="103"/>
                </a:lnTo>
                <a:lnTo>
                  <a:pt x="205" y="104"/>
                </a:lnTo>
                <a:lnTo>
                  <a:pt x="205" y="106"/>
                </a:lnTo>
                <a:lnTo>
                  <a:pt x="203" y="109"/>
                </a:lnTo>
                <a:lnTo>
                  <a:pt x="201" y="111"/>
                </a:lnTo>
                <a:lnTo>
                  <a:pt x="199" y="114"/>
                </a:lnTo>
                <a:lnTo>
                  <a:pt x="196" y="117"/>
                </a:lnTo>
                <a:lnTo>
                  <a:pt x="194" y="119"/>
                </a:lnTo>
                <a:lnTo>
                  <a:pt x="191" y="122"/>
                </a:lnTo>
                <a:lnTo>
                  <a:pt x="188" y="124"/>
                </a:lnTo>
                <a:lnTo>
                  <a:pt x="185" y="127"/>
                </a:lnTo>
                <a:lnTo>
                  <a:pt x="182" y="129"/>
                </a:lnTo>
                <a:lnTo>
                  <a:pt x="178" y="131"/>
                </a:lnTo>
                <a:lnTo>
                  <a:pt x="175" y="133"/>
                </a:lnTo>
                <a:lnTo>
                  <a:pt x="171" y="136"/>
                </a:lnTo>
                <a:lnTo>
                  <a:pt x="167" y="138"/>
                </a:lnTo>
                <a:lnTo>
                  <a:pt x="163" y="140"/>
                </a:lnTo>
                <a:lnTo>
                  <a:pt x="159" y="141"/>
                </a:lnTo>
                <a:lnTo>
                  <a:pt x="154" y="143"/>
                </a:lnTo>
                <a:lnTo>
                  <a:pt x="150" y="145"/>
                </a:lnTo>
                <a:lnTo>
                  <a:pt x="145" y="147"/>
                </a:lnTo>
                <a:lnTo>
                  <a:pt x="141" y="148"/>
                </a:lnTo>
                <a:lnTo>
                  <a:pt x="136" y="150"/>
                </a:lnTo>
                <a:lnTo>
                  <a:pt x="131" y="151"/>
                </a:lnTo>
                <a:lnTo>
                  <a:pt x="126" y="152"/>
                </a:lnTo>
                <a:lnTo>
                  <a:pt x="120" y="153"/>
                </a:lnTo>
                <a:lnTo>
                  <a:pt x="115" y="154"/>
                </a:lnTo>
                <a:lnTo>
                  <a:pt x="110" y="155"/>
                </a:lnTo>
                <a:lnTo>
                  <a:pt x="104" y="156"/>
                </a:lnTo>
                <a:lnTo>
                  <a:pt x="99" y="157"/>
                </a:lnTo>
                <a:lnTo>
                  <a:pt x="93" y="157"/>
                </a:lnTo>
                <a:lnTo>
                  <a:pt x="87" y="158"/>
                </a:lnTo>
                <a:lnTo>
                  <a:pt x="82" y="158"/>
                </a:lnTo>
                <a:lnTo>
                  <a:pt x="76" y="158"/>
                </a:lnTo>
                <a:lnTo>
                  <a:pt x="70" y="158"/>
                </a:lnTo>
                <a:close/>
              </a:path>
            </a:pathLst>
          </a:custGeom>
          <a:solidFill>
            <a:srgbClr val="00593C"/>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303176" name="Freeform 7">
            <a:extLst>
              <a:ext uri="{FF2B5EF4-FFF2-40B4-BE49-F238E27FC236}">
                <a16:creationId xmlns:a16="http://schemas.microsoft.com/office/drawing/2014/main" id="{69A52B91-D86B-46F1-9271-1BF8F467B433}"/>
              </a:ext>
            </a:extLst>
          </xdr:cNvPr>
          <xdr:cNvSpPr>
            <a:spLocks noEditPoints="1"/>
          </xdr:cNvSpPr>
        </xdr:nvSpPr>
        <xdr:spPr bwMode="auto">
          <a:xfrm>
            <a:off x="939" y="1745"/>
            <a:ext cx="102" cy="98"/>
          </a:xfrm>
          <a:custGeom>
            <a:avLst/>
            <a:gdLst>
              <a:gd name="T0" fmla="*/ 2 w 126"/>
              <a:gd name="T1" fmla="*/ 0 h 100"/>
              <a:gd name="T2" fmla="*/ 0 w 126"/>
              <a:gd name="T3" fmla="*/ 25 h 100"/>
              <a:gd name="T4" fmla="*/ 2 w 126"/>
              <a:gd name="T5" fmla="*/ 25 h 100"/>
              <a:gd name="T6" fmla="*/ 2 w 126"/>
              <a:gd name="T7" fmla="*/ 25 h 100"/>
              <a:gd name="T8" fmla="*/ 2 w 126"/>
              <a:gd name="T9" fmla="*/ 25 h 100"/>
              <a:gd name="T10" fmla="*/ 2 w 126"/>
              <a:gd name="T11" fmla="*/ 25 h 100"/>
              <a:gd name="T12" fmla="*/ 2 w 126"/>
              <a:gd name="T13" fmla="*/ 25 h 100"/>
              <a:gd name="T14" fmla="*/ 2 w 126"/>
              <a:gd name="T15" fmla="*/ 0 h 100"/>
              <a:gd name="T16" fmla="*/ 2 w 126"/>
              <a:gd name="T17" fmla="*/ 0 h 100"/>
              <a:gd name="T18" fmla="*/ 2 w 126"/>
              <a:gd name="T19" fmla="*/ 25 h 100"/>
              <a:gd name="T20" fmla="*/ 2 w 126"/>
              <a:gd name="T21" fmla="*/ 25 h 100"/>
              <a:gd name="T22" fmla="*/ 2 w 126"/>
              <a:gd name="T23" fmla="*/ 25 h 100"/>
              <a:gd name="T24" fmla="*/ 2 w 126"/>
              <a:gd name="T25" fmla="*/ 25 h 100"/>
              <a:gd name="T26" fmla="*/ 0 60000 65536"/>
              <a:gd name="T27" fmla="*/ 0 60000 65536"/>
              <a:gd name="T28" fmla="*/ 0 60000 65536"/>
              <a:gd name="T29" fmla="*/ 0 60000 65536"/>
              <a:gd name="T30" fmla="*/ 0 60000 65536"/>
              <a:gd name="T31" fmla="*/ 0 60000 65536"/>
              <a:gd name="T32" fmla="*/ 0 60000 65536"/>
              <a:gd name="T33" fmla="*/ 0 60000 65536"/>
              <a:gd name="T34" fmla="*/ 0 60000 65536"/>
              <a:gd name="T35" fmla="*/ 0 60000 65536"/>
              <a:gd name="T36" fmla="*/ 0 60000 65536"/>
              <a:gd name="T37" fmla="*/ 0 60000 65536"/>
              <a:gd name="T38" fmla="*/ 0 60000 65536"/>
              <a:gd name="T39" fmla="*/ 0 w 126"/>
              <a:gd name="T40" fmla="*/ 0 h 100"/>
              <a:gd name="T41" fmla="*/ 126 w 126"/>
              <a:gd name="T42" fmla="*/ 100 h 100"/>
            </a:gdLst>
            <a:ahLst/>
            <a:cxnLst>
              <a:cxn ang="T26">
                <a:pos x="T0" y="T1"/>
              </a:cxn>
              <a:cxn ang="T27">
                <a:pos x="T2" y="T3"/>
              </a:cxn>
              <a:cxn ang="T28">
                <a:pos x="T4" y="T5"/>
              </a:cxn>
              <a:cxn ang="T29">
                <a:pos x="T6" y="T7"/>
              </a:cxn>
              <a:cxn ang="T30">
                <a:pos x="T8" y="T9"/>
              </a:cxn>
              <a:cxn ang="T31">
                <a:pos x="T10" y="T11"/>
              </a:cxn>
              <a:cxn ang="T32">
                <a:pos x="T12" y="T13"/>
              </a:cxn>
              <a:cxn ang="T33">
                <a:pos x="T14" y="T15"/>
              </a:cxn>
              <a:cxn ang="T34">
                <a:pos x="T16" y="T17"/>
              </a:cxn>
              <a:cxn ang="T35">
                <a:pos x="T18" y="T19"/>
              </a:cxn>
              <a:cxn ang="T36">
                <a:pos x="T20" y="T21"/>
              </a:cxn>
              <a:cxn ang="T37">
                <a:pos x="T22" y="T23"/>
              </a:cxn>
              <a:cxn ang="T38">
                <a:pos x="T24" y="T25"/>
              </a:cxn>
            </a:cxnLst>
            <a:rect l="T39" t="T40" r="T41" b="T42"/>
            <a:pathLst>
              <a:path w="126" h="100">
                <a:moveTo>
                  <a:pt x="106" y="0"/>
                </a:moveTo>
                <a:lnTo>
                  <a:pt x="0" y="100"/>
                </a:lnTo>
                <a:lnTo>
                  <a:pt x="27" y="100"/>
                </a:lnTo>
                <a:lnTo>
                  <a:pt x="49" y="79"/>
                </a:lnTo>
                <a:lnTo>
                  <a:pt x="85" y="79"/>
                </a:lnTo>
                <a:lnTo>
                  <a:pt x="82" y="100"/>
                </a:lnTo>
                <a:lnTo>
                  <a:pt x="117" y="100"/>
                </a:lnTo>
                <a:lnTo>
                  <a:pt x="126" y="0"/>
                </a:lnTo>
                <a:lnTo>
                  <a:pt x="106" y="0"/>
                </a:lnTo>
                <a:close/>
                <a:moveTo>
                  <a:pt x="91" y="37"/>
                </a:moveTo>
                <a:lnTo>
                  <a:pt x="87" y="65"/>
                </a:lnTo>
                <a:lnTo>
                  <a:pt x="63" y="65"/>
                </a:lnTo>
                <a:lnTo>
                  <a:pt x="91" y="37"/>
                </a:lnTo>
                <a:close/>
              </a:path>
            </a:pathLst>
          </a:custGeom>
          <a:solidFill>
            <a:srgbClr val="00593C"/>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303177" name="Freeform 8">
            <a:extLst>
              <a:ext uri="{FF2B5EF4-FFF2-40B4-BE49-F238E27FC236}">
                <a16:creationId xmlns:a16="http://schemas.microsoft.com/office/drawing/2014/main" id="{EC1B0838-E87C-4DA0-81E4-5725A7BEAAF9}"/>
              </a:ext>
            </a:extLst>
          </xdr:cNvPr>
          <xdr:cNvSpPr>
            <a:spLocks noEditPoints="1"/>
          </xdr:cNvSpPr>
        </xdr:nvSpPr>
        <xdr:spPr bwMode="auto">
          <a:xfrm>
            <a:off x="1032" y="1768"/>
            <a:ext cx="113" cy="104"/>
          </a:xfrm>
          <a:custGeom>
            <a:avLst/>
            <a:gdLst>
              <a:gd name="T0" fmla="*/ 2 w 138"/>
              <a:gd name="T1" fmla="*/ 1 h 106"/>
              <a:gd name="T2" fmla="*/ 2 w 138"/>
              <a:gd name="T3" fmla="*/ 1 h 106"/>
              <a:gd name="T4" fmla="*/ 2 w 138"/>
              <a:gd name="T5" fmla="*/ 6 h 106"/>
              <a:gd name="T6" fmla="*/ 2 w 138"/>
              <a:gd name="T7" fmla="*/ 12 h 106"/>
              <a:gd name="T8" fmla="*/ 2 w 138"/>
              <a:gd name="T9" fmla="*/ 21 h 106"/>
              <a:gd name="T10" fmla="*/ 2 w 138"/>
              <a:gd name="T11" fmla="*/ 26 h 106"/>
              <a:gd name="T12" fmla="*/ 2 w 138"/>
              <a:gd name="T13" fmla="*/ 26 h 106"/>
              <a:gd name="T14" fmla="*/ 2 w 138"/>
              <a:gd name="T15" fmla="*/ 26 h 106"/>
              <a:gd name="T16" fmla="*/ 2 w 138"/>
              <a:gd name="T17" fmla="*/ 26 h 106"/>
              <a:gd name="T18" fmla="*/ 2 w 138"/>
              <a:gd name="T19" fmla="*/ 26 h 106"/>
              <a:gd name="T20" fmla="*/ 2 w 138"/>
              <a:gd name="T21" fmla="*/ 26 h 106"/>
              <a:gd name="T22" fmla="*/ 2 w 138"/>
              <a:gd name="T23" fmla="*/ 26 h 106"/>
              <a:gd name="T24" fmla="*/ 2 w 138"/>
              <a:gd name="T25" fmla="*/ 26 h 106"/>
              <a:gd name="T26" fmla="*/ 2 w 138"/>
              <a:gd name="T27" fmla="*/ 26 h 106"/>
              <a:gd name="T28" fmla="*/ 2 w 138"/>
              <a:gd name="T29" fmla="*/ 26 h 106"/>
              <a:gd name="T30" fmla="*/ 0 w 138"/>
              <a:gd name="T31" fmla="*/ 26 h 106"/>
              <a:gd name="T32" fmla="*/ 1 w 138"/>
              <a:gd name="T33" fmla="*/ 26 h 106"/>
              <a:gd name="T34" fmla="*/ 2 w 138"/>
              <a:gd name="T35" fmla="*/ 26 h 106"/>
              <a:gd name="T36" fmla="*/ 2 w 138"/>
              <a:gd name="T37" fmla="*/ 26 h 106"/>
              <a:gd name="T38" fmla="*/ 2 w 138"/>
              <a:gd name="T39" fmla="*/ 26 h 106"/>
              <a:gd name="T40" fmla="*/ 2 w 138"/>
              <a:gd name="T41" fmla="*/ 26 h 106"/>
              <a:gd name="T42" fmla="*/ 2 w 138"/>
              <a:gd name="T43" fmla="*/ 26 h 106"/>
              <a:gd name="T44" fmla="*/ 2 w 138"/>
              <a:gd name="T45" fmla="*/ 26 h 106"/>
              <a:gd name="T46" fmla="*/ 2 w 138"/>
              <a:gd name="T47" fmla="*/ 26 h 106"/>
              <a:gd name="T48" fmla="*/ 2 w 138"/>
              <a:gd name="T49" fmla="*/ 26 h 106"/>
              <a:gd name="T50" fmla="*/ 2 w 138"/>
              <a:gd name="T51" fmla="*/ 26 h 106"/>
              <a:gd name="T52" fmla="*/ 2 w 138"/>
              <a:gd name="T53" fmla="*/ 26 h 106"/>
              <a:gd name="T54" fmla="*/ 2 w 138"/>
              <a:gd name="T55" fmla="*/ 26 h 106"/>
              <a:gd name="T56" fmla="*/ 2 w 138"/>
              <a:gd name="T57" fmla="*/ 26 h 106"/>
              <a:gd name="T58" fmla="*/ 2 w 138"/>
              <a:gd name="T59" fmla="*/ 26 h 106"/>
              <a:gd name="T60" fmla="*/ 2 w 138"/>
              <a:gd name="T61" fmla="*/ 26 h 106"/>
              <a:gd name="T62" fmla="*/ 2 w 138"/>
              <a:gd name="T63" fmla="*/ 26 h 106"/>
              <a:gd name="T64" fmla="*/ 2 w 138"/>
              <a:gd name="T65" fmla="*/ 26 h 106"/>
              <a:gd name="T66" fmla="*/ 2 w 138"/>
              <a:gd name="T67" fmla="*/ 26 h 106"/>
              <a:gd name="T68" fmla="*/ 2 w 138"/>
              <a:gd name="T69" fmla="*/ 26 h 106"/>
              <a:gd name="T70" fmla="*/ 2 w 138"/>
              <a:gd name="T71" fmla="*/ 21 h 106"/>
              <a:gd name="T72" fmla="*/ 2 w 138"/>
              <a:gd name="T73" fmla="*/ 15 h 106"/>
              <a:gd name="T74" fmla="*/ 2 w 138"/>
              <a:gd name="T75" fmla="*/ 26 h 106"/>
              <a:gd name="T76" fmla="*/ 2 w 138"/>
              <a:gd name="T77" fmla="*/ 15 h 106"/>
              <a:gd name="T78" fmla="*/ 2 w 138"/>
              <a:gd name="T79" fmla="*/ 12 h 106"/>
              <a:gd name="T80" fmla="*/ 2 w 138"/>
              <a:gd name="T81" fmla="*/ 14 h 106"/>
              <a:gd name="T82" fmla="*/ 2 w 138"/>
              <a:gd name="T83" fmla="*/ 17 h 106"/>
              <a:gd name="T84" fmla="*/ 2 w 138"/>
              <a:gd name="T85" fmla="*/ 26 h 106"/>
              <a:gd name="T86" fmla="*/ 2 w 138"/>
              <a:gd name="T87" fmla="*/ 26 h 106"/>
              <a:gd name="T88" fmla="*/ 2 w 138"/>
              <a:gd name="T89" fmla="*/ 26 h 106"/>
              <a:gd name="T90" fmla="*/ 2 w 138"/>
              <a:gd name="T91" fmla="*/ 26 h 106"/>
              <a:gd name="T92" fmla="*/ 2 w 138"/>
              <a:gd name="T93" fmla="*/ 26 h 106"/>
              <a:gd name="T94" fmla="*/ 2 w 138"/>
              <a:gd name="T95" fmla="*/ 26 h 106"/>
              <a:gd name="T96" fmla="*/ 2 w 138"/>
              <a:gd name="T97" fmla="*/ 26 h 106"/>
              <a:gd name="T98" fmla="*/ 2 w 138"/>
              <a:gd name="T99" fmla="*/ 26 h 106"/>
              <a:gd name="T100" fmla="*/ 2 w 138"/>
              <a:gd name="T101" fmla="*/ 26 h 106"/>
              <a:gd name="T102" fmla="*/ 2 w 138"/>
              <a:gd name="T103" fmla="*/ 26 h 106"/>
              <a:gd name="T104" fmla="*/ 2 w 138"/>
              <a:gd name="T105" fmla="*/ 26 h 106"/>
              <a:gd name="T106" fmla="*/ 2 w 138"/>
              <a:gd name="T107" fmla="*/ 26 h 106"/>
              <a:gd name="T108" fmla="*/ 2 w 138"/>
              <a:gd name="T109" fmla="*/ 26 h 106"/>
              <a:gd name="T110" fmla="*/ 2 w 138"/>
              <a:gd name="T111" fmla="*/ 26 h 10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w 138"/>
              <a:gd name="T169" fmla="*/ 0 h 106"/>
              <a:gd name="T170" fmla="*/ 138 w 138"/>
              <a:gd name="T171" fmla="*/ 106 h 106"/>
            </a:gdLst>
            <a:ahLst/>
            <a:cxnLst>
              <a:cxn ang="T112">
                <a:pos x="T0" y="T1"/>
              </a:cxn>
              <a:cxn ang="T113">
                <a:pos x="T2" y="T3"/>
              </a:cxn>
              <a:cxn ang="T114">
                <a:pos x="T4" y="T5"/>
              </a:cxn>
              <a:cxn ang="T115">
                <a:pos x="T6" y="T7"/>
              </a:cxn>
              <a:cxn ang="T116">
                <a:pos x="T8" y="T9"/>
              </a:cxn>
              <a:cxn ang="T117">
                <a:pos x="T10" y="T11"/>
              </a:cxn>
              <a:cxn ang="T118">
                <a:pos x="T12" y="T13"/>
              </a:cxn>
              <a:cxn ang="T119">
                <a:pos x="T14" y="T15"/>
              </a:cxn>
              <a:cxn ang="T120">
                <a:pos x="T16" y="T17"/>
              </a:cxn>
              <a:cxn ang="T121">
                <a:pos x="T18" y="T19"/>
              </a:cxn>
              <a:cxn ang="T122">
                <a:pos x="T20" y="T21"/>
              </a:cxn>
              <a:cxn ang="T123">
                <a:pos x="T22" y="T23"/>
              </a:cxn>
              <a:cxn ang="T124">
                <a:pos x="T24" y="T25"/>
              </a:cxn>
              <a:cxn ang="T125">
                <a:pos x="T26" y="T27"/>
              </a:cxn>
              <a:cxn ang="T126">
                <a:pos x="T28" y="T29"/>
              </a:cxn>
              <a:cxn ang="T127">
                <a:pos x="T30" y="T31"/>
              </a:cxn>
              <a:cxn ang="T128">
                <a:pos x="T32" y="T33"/>
              </a:cxn>
              <a:cxn ang="T129">
                <a:pos x="T34" y="T35"/>
              </a:cxn>
              <a:cxn ang="T130">
                <a:pos x="T36" y="T37"/>
              </a:cxn>
              <a:cxn ang="T131">
                <a:pos x="T38" y="T39"/>
              </a:cxn>
              <a:cxn ang="T132">
                <a:pos x="T40" y="T41"/>
              </a:cxn>
              <a:cxn ang="T133">
                <a:pos x="T42" y="T43"/>
              </a:cxn>
              <a:cxn ang="T134">
                <a:pos x="T44" y="T45"/>
              </a:cxn>
              <a:cxn ang="T135">
                <a:pos x="T46" y="T47"/>
              </a:cxn>
              <a:cxn ang="T136">
                <a:pos x="T48" y="T49"/>
              </a:cxn>
              <a:cxn ang="T137">
                <a:pos x="T50" y="T51"/>
              </a:cxn>
              <a:cxn ang="T138">
                <a:pos x="T52" y="T53"/>
              </a:cxn>
              <a:cxn ang="T139">
                <a:pos x="T54" y="T55"/>
              </a:cxn>
              <a:cxn ang="T140">
                <a:pos x="T56" y="T57"/>
              </a:cxn>
              <a:cxn ang="T141">
                <a:pos x="T58" y="T59"/>
              </a:cxn>
              <a:cxn ang="T142">
                <a:pos x="T60" y="T61"/>
              </a:cxn>
              <a:cxn ang="T143">
                <a:pos x="T62" y="T63"/>
              </a:cxn>
              <a:cxn ang="T144">
                <a:pos x="T64" y="T65"/>
              </a:cxn>
              <a:cxn ang="T145">
                <a:pos x="T66" y="T67"/>
              </a:cxn>
              <a:cxn ang="T146">
                <a:pos x="T68" y="T69"/>
              </a:cxn>
              <a:cxn ang="T147">
                <a:pos x="T70" y="T71"/>
              </a:cxn>
              <a:cxn ang="T148">
                <a:pos x="T72" y="T73"/>
              </a:cxn>
              <a:cxn ang="T149">
                <a:pos x="T74" y="T75"/>
              </a:cxn>
              <a:cxn ang="T150">
                <a:pos x="T76" y="T77"/>
              </a:cxn>
              <a:cxn ang="T151">
                <a:pos x="T78" y="T79"/>
              </a:cxn>
              <a:cxn ang="T152">
                <a:pos x="T80" y="T81"/>
              </a:cxn>
              <a:cxn ang="T153">
                <a:pos x="T82" y="T83"/>
              </a:cxn>
              <a:cxn ang="T154">
                <a:pos x="T84" y="T85"/>
              </a:cxn>
              <a:cxn ang="T155">
                <a:pos x="T86" y="T87"/>
              </a:cxn>
              <a:cxn ang="T156">
                <a:pos x="T88" y="T89"/>
              </a:cxn>
              <a:cxn ang="T157">
                <a:pos x="T90" y="T91"/>
              </a:cxn>
              <a:cxn ang="T158">
                <a:pos x="T92" y="T93"/>
              </a:cxn>
              <a:cxn ang="T159">
                <a:pos x="T94" y="T95"/>
              </a:cxn>
              <a:cxn ang="T160">
                <a:pos x="T96" y="T97"/>
              </a:cxn>
              <a:cxn ang="T161">
                <a:pos x="T98" y="T99"/>
              </a:cxn>
              <a:cxn ang="T162">
                <a:pos x="T100" y="T101"/>
              </a:cxn>
              <a:cxn ang="T163">
                <a:pos x="T102" y="T103"/>
              </a:cxn>
              <a:cxn ang="T164">
                <a:pos x="T104" y="T105"/>
              </a:cxn>
              <a:cxn ang="T165">
                <a:pos x="T106" y="T107"/>
              </a:cxn>
              <a:cxn ang="T166">
                <a:pos x="T108" y="T109"/>
              </a:cxn>
              <a:cxn ang="T167">
                <a:pos x="T110" y="T111"/>
              </a:cxn>
            </a:cxnLst>
            <a:rect l="T168" t="T169" r="T170" b="T171"/>
            <a:pathLst>
              <a:path w="138" h="106">
                <a:moveTo>
                  <a:pt x="138" y="2"/>
                </a:moveTo>
                <a:lnTo>
                  <a:pt x="104" y="2"/>
                </a:lnTo>
                <a:lnTo>
                  <a:pt x="103" y="2"/>
                </a:lnTo>
                <a:lnTo>
                  <a:pt x="102" y="1"/>
                </a:lnTo>
                <a:lnTo>
                  <a:pt x="101" y="1"/>
                </a:lnTo>
                <a:lnTo>
                  <a:pt x="99" y="1"/>
                </a:lnTo>
                <a:lnTo>
                  <a:pt x="97" y="1"/>
                </a:lnTo>
                <a:lnTo>
                  <a:pt x="95" y="1"/>
                </a:lnTo>
                <a:lnTo>
                  <a:pt x="93" y="0"/>
                </a:lnTo>
                <a:lnTo>
                  <a:pt x="91" y="0"/>
                </a:lnTo>
                <a:lnTo>
                  <a:pt x="88" y="0"/>
                </a:lnTo>
                <a:lnTo>
                  <a:pt x="85" y="1"/>
                </a:lnTo>
                <a:lnTo>
                  <a:pt x="83" y="1"/>
                </a:lnTo>
                <a:lnTo>
                  <a:pt x="80" y="1"/>
                </a:lnTo>
                <a:lnTo>
                  <a:pt x="78" y="2"/>
                </a:lnTo>
                <a:lnTo>
                  <a:pt x="75" y="2"/>
                </a:lnTo>
                <a:lnTo>
                  <a:pt x="73" y="3"/>
                </a:lnTo>
                <a:lnTo>
                  <a:pt x="70" y="3"/>
                </a:lnTo>
                <a:lnTo>
                  <a:pt x="68" y="4"/>
                </a:lnTo>
                <a:lnTo>
                  <a:pt x="66" y="5"/>
                </a:lnTo>
                <a:lnTo>
                  <a:pt x="64" y="6"/>
                </a:lnTo>
                <a:lnTo>
                  <a:pt x="62" y="6"/>
                </a:lnTo>
                <a:lnTo>
                  <a:pt x="60" y="7"/>
                </a:lnTo>
                <a:lnTo>
                  <a:pt x="58" y="8"/>
                </a:lnTo>
                <a:lnTo>
                  <a:pt x="57" y="9"/>
                </a:lnTo>
                <a:lnTo>
                  <a:pt x="55" y="10"/>
                </a:lnTo>
                <a:lnTo>
                  <a:pt x="54" y="11"/>
                </a:lnTo>
                <a:lnTo>
                  <a:pt x="52" y="12"/>
                </a:lnTo>
                <a:lnTo>
                  <a:pt x="51" y="14"/>
                </a:lnTo>
                <a:lnTo>
                  <a:pt x="49" y="15"/>
                </a:lnTo>
                <a:lnTo>
                  <a:pt x="48" y="16"/>
                </a:lnTo>
                <a:lnTo>
                  <a:pt x="47" y="17"/>
                </a:lnTo>
                <a:lnTo>
                  <a:pt x="46" y="18"/>
                </a:lnTo>
                <a:lnTo>
                  <a:pt x="45" y="20"/>
                </a:lnTo>
                <a:lnTo>
                  <a:pt x="44" y="21"/>
                </a:lnTo>
                <a:lnTo>
                  <a:pt x="43" y="22"/>
                </a:lnTo>
                <a:lnTo>
                  <a:pt x="42" y="23"/>
                </a:lnTo>
                <a:lnTo>
                  <a:pt x="41" y="24"/>
                </a:lnTo>
                <a:lnTo>
                  <a:pt x="41" y="26"/>
                </a:lnTo>
                <a:lnTo>
                  <a:pt x="40" y="27"/>
                </a:lnTo>
                <a:lnTo>
                  <a:pt x="40" y="28"/>
                </a:lnTo>
                <a:lnTo>
                  <a:pt x="39" y="29"/>
                </a:lnTo>
                <a:lnTo>
                  <a:pt x="39" y="30"/>
                </a:lnTo>
                <a:lnTo>
                  <a:pt x="39" y="31"/>
                </a:lnTo>
                <a:lnTo>
                  <a:pt x="38" y="32"/>
                </a:lnTo>
                <a:lnTo>
                  <a:pt x="38" y="34"/>
                </a:lnTo>
                <a:lnTo>
                  <a:pt x="38" y="35"/>
                </a:lnTo>
                <a:lnTo>
                  <a:pt x="38" y="36"/>
                </a:lnTo>
                <a:lnTo>
                  <a:pt x="38" y="37"/>
                </a:lnTo>
                <a:lnTo>
                  <a:pt x="39" y="38"/>
                </a:lnTo>
                <a:lnTo>
                  <a:pt x="39" y="39"/>
                </a:lnTo>
                <a:lnTo>
                  <a:pt x="39" y="40"/>
                </a:lnTo>
                <a:lnTo>
                  <a:pt x="40" y="41"/>
                </a:lnTo>
                <a:lnTo>
                  <a:pt x="41" y="42"/>
                </a:lnTo>
                <a:lnTo>
                  <a:pt x="42" y="43"/>
                </a:lnTo>
                <a:lnTo>
                  <a:pt x="43" y="44"/>
                </a:lnTo>
                <a:lnTo>
                  <a:pt x="44" y="45"/>
                </a:lnTo>
                <a:lnTo>
                  <a:pt x="45" y="46"/>
                </a:lnTo>
                <a:lnTo>
                  <a:pt x="46" y="46"/>
                </a:lnTo>
                <a:lnTo>
                  <a:pt x="48" y="47"/>
                </a:lnTo>
                <a:lnTo>
                  <a:pt x="50" y="48"/>
                </a:lnTo>
                <a:lnTo>
                  <a:pt x="46" y="50"/>
                </a:lnTo>
                <a:lnTo>
                  <a:pt x="43" y="52"/>
                </a:lnTo>
                <a:lnTo>
                  <a:pt x="41" y="53"/>
                </a:lnTo>
                <a:lnTo>
                  <a:pt x="40" y="54"/>
                </a:lnTo>
                <a:lnTo>
                  <a:pt x="38" y="54"/>
                </a:lnTo>
                <a:lnTo>
                  <a:pt x="37" y="55"/>
                </a:lnTo>
                <a:lnTo>
                  <a:pt x="35" y="56"/>
                </a:lnTo>
                <a:lnTo>
                  <a:pt x="34" y="57"/>
                </a:lnTo>
                <a:lnTo>
                  <a:pt x="33" y="58"/>
                </a:lnTo>
                <a:lnTo>
                  <a:pt x="32" y="59"/>
                </a:lnTo>
                <a:lnTo>
                  <a:pt x="31" y="60"/>
                </a:lnTo>
                <a:lnTo>
                  <a:pt x="30" y="61"/>
                </a:lnTo>
                <a:lnTo>
                  <a:pt x="29" y="62"/>
                </a:lnTo>
                <a:lnTo>
                  <a:pt x="29" y="63"/>
                </a:lnTo>
                <a:lnTo>
                  <a:pt x="29" y="64"/>
                </a:lnTo>
                <a:lnTo>
                  <a:pt x="29" y="65"/>
                </a:lnTo>
                <a:lnTo>
                  <a:pt x="29" y="66"/>
                </a:lnTo>
                <a:lnTo>
                  <a:pt x="29" y="67"/>
                </a:lnTo>
                <a:lnTo>
                  <a:pt x="29" y="68"/>
                </a:lnTo>
                <a:lnTo>
                  <a:pt x="30" y="69"/>
                </a:lnTo>
                <a:lnTo>
                  <a:pt x="31" y="70"/>
                </a:lnTo>
                <a:lnTo>
                  <a:pt x="32" y="71"/>
                </a:lnTo>
                <a:lnTo>
                  <a:pt x="33" y="71"/>
                </a:lnTo>
                <a:lnTo>
                  <a:pt x="34" y="72"/>
                </a:lnTo>
                <a:lnTo>
                  <a:pt x="36" y="73"/>
                </a:lnTo>
                <a:lnTo>
                  <a:pt x="39" y="74"/>
                </a:lnTo>
                <a:lnTo>
                  <a:pt x="34" y="75"/>
                </a:lnTo>
                <a:lnTo>
                  <a:pt x="29" y="76"/>
                </a:lnTo>
                <a:lnTo>
                  <a:pt x="26" y="77"/>
                </a:lnTo>
                <a:lnTo>
                  <a:pt x="23" y="78"/>
                </a:lnTo>
                <a:lnTo>
                  <a:pt x="20" y="79"/>
                </a:lnTo>
                <a:lnTo>
                  <a:pt x="17" y="80"/>
                </a:lnTo>
                <a:lnTo>
                  <a:pt x="14" y="81"/>
                </a:lnTo>
                <a:lnTo>
                  <a:pt x="11" y="82"/>
                </a:lnTo>
                <a:lnTo>
                  <a:pt x="10" y="82"/>
                </a:lnTo>
                <a:lnTo>
                  <a:pt x="8" y="83"/>
                </a:lnTo>
                <a:lnTo>
                  <a:pt x="7" y="84"/>
                </a:lnTo>
                <a:lnTo>
                  <a:pt x="6" y="84"/>
                </a:lnTo>
                <a:lnTo>
                  <a:pt x="5" y="85"/>
                </a:lnTo>
                <a:lnTo>
                  <a:pt x="4" y="86"/>
                </a:lnTo>
                <a:lnTo>
                  <a:pt x="3" y="86"/>
                </a:lnTo>
                <a:lnTo>
                  <a:pt x="2" y="87"/>
                </a:lnTo>
                <a:lnTo>
                  <a:pt x="2" y="88"/>
                </a:lnTo>
                <a:lnTo>
                  <a:pt x="1" y="89"/>
                </a:lnTo>
                <a:lnTo>
                  <a:pt x="1" y="90"/>
                </a:lnTo>
                <a:lnTo>
                  <a:pt x="0" y="91"/>
                </a:lnTo>
                <a:lnTo>
                  <a:pt x="0" y="92"/>
                </a:lnTo>
                <a:lnTo>
                  <a:pt x="0" y="93"/>
                </a:lnTo>
                <a:lnTo>
                  <a:pt x="0" y="94"/>
                </a:lnTo>
                <a:lnTo>
                  <a:pt x="0" y="95"/>
                </a:lnTo>
                <a:lnTo>
                  <a:pt x="1" y="96"/>
                </a:lnTo>
                <a:lnTo>
                  <a:pt x="2" y="97"/>
                </a:lnTo>
                <a:lnTo>
                  <a:pt x="3" y="98"/>
                </a:lnTo>
                <a:lnTo>
                  <a:pt x="4" y="99"/>
                </a:lnTo>
                <a:lnTo>
                  <a:pt x="6" y="100"/>
                </a:lnTo>
                <a:lnTo>
                  <a:pt x="7" y="100"/>
                </a:lnTo>
                <a:lnTo>
                  <a:pt x="8" y="101"/>
                </a:lnTo>
                <a:lnTo>
                  <a:pt x="9" y="102"/>
                </a:lnTo>
                <a:lnTo>
                  <a:pt x="11" y="102"/>
                </a:lnTo>
                <a:lnTo>
                  <a:pt x="12" y="103"/>
                </a:lnTo>
                <a:lnTo>
                  <a:pt x="14" y="103"/>
                </a:lnTo>
                <a:lnTo>
                  <a:pt x="15" y="103"/>
                </a:lnTo>
                <a:lnTo>
                  <a:pt x="17" y="104"/>
                </a:lnTo>
                <a:lnTo>
                  <a:pt x="20" y="104"/>
                </a:lnTo>
                <a:lnTo>
                  <a:pt x="24" y="105"/>
                </a:lnTo>
                <a:lnTo>
                  <a:pt x="27" y="105"/>
                </a:lnTo>
                <a:lnTo>
                  <a:pt x="31" y="106"/>
                </a:lnTo>
                <a:lnTo>
                  <a:pt x="35" y="106"/>
                </a:lnTo>
                <a:lnTo>
                  <a:pt x="39" y="106"/>
                </a:lnTo>
                <a:lnTo>
                  <a:pt x="44" y="106"/>
                </a:lnTo>
                <a:lnTo>
                  <a:pt x="48" y="106"/>
                </a:lnTo>
                <a:lnTo>
                  <a:pt x="51" y="106"/>
                </a:lnTo>
                <a:lnTo>
                  <a:pt x="53" y="105"/>
                </a:lnTo>
                <a:lnTo>
                  <a:pt x="55" y="105"/>
                </a:lnTo>
                <a:lnTo>
                  <a:pt x="58" y="105"/>
                </a:lnTo>
                <a:lnTo>
                  <a:pt x="60" y="104"/>
                </a:lnTo>
                <a:lnTo>
                  <a:pt x="62" y="104"/>
                </a:lnTo>
                <a:lnTo>
                  <a:pt x="65" y="104"/>
                </a:lnTo>
                <a:lnTo>
                  <a:pt x="67" y="103"/>
                </a:lnTo>
                <a:lnTo>
                  <a:pt x="69" y="103"/>
                </a:lnTo>
                <a:lnTo>
                  <a:pt x="71" y="102"/>
                </a:lnTo>
                <a:lnTo>
                  <a:pt x="73" y="101"/>
                </a:lnTo>
                <a:lnTo>
                  <a:pt x="76" y="101"/>
                </a:lnTo>
                <a:lnTo>
                  <a:pt x="78" y="100"/>
                </a:lnTo>
                <a:lnTo>
                  <a:pt x="80" y="99"/>
                </a:lnTo>
                <a:lnTo>
                  <a:pt x="81" y="98"/>
                </a:lnTo>
                <a:lnTo>
                  <a:pt x="83" y="98"/>
                </a:lnTo>
                <a:lnTo>
                  <a:pt x="85" y="97"/>
                </a:lnTo>
                <a:lnTo>
                  <a:pt x="87" y="96"/>
                </a:lnTo>
                <a:lnTo>
                  <a:pt x="88" y="95"/>
                </a:lnTo>
                <a:lnTo>
                  <a:pt x="90" y="94"/>
                </a:lnTo>
                <a:lnTo>
                  <a:pt x="91" y="93"/>
                </a:lnTo>
                <a:lnTo>
                  <a:pt x="93" y="91"/>
                </a:lnTo>
                <a:lnTo>
                  <a:pt x="94" y="90"/>
                </a:lnTo>
                <a:lnTo>
                  <a:pt x="95" y="89"/>
                </a:lnTo>
                <a:lnTo>
                  <a:pt x="96" y="88"/>
                </a:lnTo>
                <a:lnTo>
                  <a:pt x="97" y="86"/>
                </a:lnTo>
                <a:lnTo>
                  <a:pt x="97" y="85"/>
                </a:lnTo>
                <a:lnTo>
                  <a:pt x="98" y="83"/>
                </a:lnTo>
                <a:lnTo>
                  <a:pt x="98" y="82"/>
                </a:lnTo>
                <a:lnTo>
                  <a:pt x="99" y="81"/>
                </a:lnTo>
                <a:lnTo>
                  <a:pt x="99" y="80"/>
                </a:lnTo>
                <a:lnTo>
                  <a:pt x="99" y="79"/>
                </a:lnTo>
                <a:lnTo>
                  <a:pt x="99" y="78"/>
                </a:lnTo>
                <a:lnTo>
                  <a:pt x="98" y="77"/>
                </a:lnTo>
                <a:lnTo>
                  <a:pt x="98" y="76"/>
                </a:lnTo>
                <a:lnTo>
                  <a:pt x="97" y="75"/>
                </a:lnTo>
                <a:lnTo>
                  <a:pt x="97" y="74"/>
                </a:lnTo>
                <a:lnTo>
                  <a:pt x="96" y="73"/>
                </a:lnTo>
                <a:lnTo>
                  <a:pt x="95" y="73"/>
                </a:lnTo>
                <a:lnTo>
                  <a:pt x="94" y="72"/>
                </a:lnTo>
                <a:lnTo>
                  <a:pt x="94" y="71"/>
                </a:lnTo>
                <a:lnTo>
                  <a:pt x="93" y="70"/>
                </a:lnTo>
                <a:lnTo>
                  <a:pt x="92" y="70"/>
                </a:lnTo>
                <a:lnTo>
                  <a:pt x="90" y="69"/>
                </a:lnTo>
                <a:lnTo>
                  <a:pt x="89" y="68"/>
                </a:lnTo>
                <a:lnTo>
                  <a:pt x="88" y="68"/>
                </a:lnTo>
                <a:lnTo>
                  <a:pt x="86" y="67"/>
                </a:lnTo>
                <a:lnTo>
                  <a:pt x="83" y="66"/>
                </a:lnTo>
                <a:lnTo>
                  <a:pt x="80" y="65"/>
                </a:lnTo>
                <a:lnTo>
                  <a:pt x="77" y="63"/>
                </a:lnTo>
                <a:lnTo>
                  <a:pt x="73" y="62"/>
                </a:lnTo>
                <a:lnTo>
                  <a:pt x="69" y="61"/>
                </a:lnTo>
                <a:lnTo>
                  <a:pt x="65" y="60"/>
                </a:lnTo>
                <a:lnTo>
                  <a:pt x="62" y="59"/>
                </a:lnTo>
                <a:lnTo>
                  <a:pt x="59" y="58"/>
                </a:lnTo>
                <a:lnTo>
                  <a:pt x="58" y="57"/>
                </a:lnTo>
                <a:lnTo>
                  <a:pt x="57" y="57"/>
                </a:lnTo>
                <a:lnTo>
                  <a:pt x="56" y="56"/>
                </a:lnTo>
                <a:lnTo>
                  <a:pt x="55" y="56"/>
                </a:lnTo>
                <a:lnTo>
                  <a:pt x="55" y="55"/>
                </a:lnTo>
                <a:lnTo>
                  <a:pt x="56" y="55"/>
                </a:lnTo>
                <a:lnTo>
                  <a:pt x="56" y="54"/>
                </a:lnTo>
                <a:lnTo>
                  <a:pt x="57" y="53"/>
                </a:lnTo>
                <a:lnTo>
                  <a:pt x="58" y="52"/>
                </a:lnTo>
                <a:lnTo>
                  <a:pt x="60" y="51"/>
                </a:lnTo>
                <a:lnTo>
                  <a:pt x="61" y="50"/>
                </a:lnTo>
                <a:lnTo>
                  <a:pt x="63" y="51"/>
                </a:lnTo>
                <a:lnTo>
                  <a:pt x="64" y="51"/>
                </a:lnTo>
                <a:lnTo>
                  <a:pt x="66" y="51"/>
                </a:lnTo>
                <a:lnTo>
                  <a:pt x="69" y="51"/>
                </a:lnTo>
                <a:lnTo>
                  <a:pt x="71" y="51"/>
                </a:lnTo>
                <a:lnTo>
                  <a:pt x="73" y="51"/>
                </a:lnTo>
                <a:lnTo>
                  <a:pt x="75" y="51"/>
                </a:lnTo>
                <a:lnTo>
                  <a:pt x="77" y="50"/>
                </a:lnTo>
                <a:lnTo>
                  <a:pt x="79" y="50"/>
                </a:lnTo>
                <a:lnTo>
                  <a:pt x="81" y="50"/>
                </a:lnTo>
                <a:lnTo>
                  <a:pt x="83" y="49"/>
                </a:lnTo>
                <a:lnTo>
                  <a:pt x="85" y="49"/>
                </a:lnTo>
                <a:lnTo>
                  <a:pt x="87" y="48"/>
                </a:lnTo>
                <a:lnTo>
                  <a:pt x="89" y="48"/>
                </a:lnTo>
                <a:lnTo>
                  <a:pt x="91" y="47"/>
                </a:lnTo>
                <a:lnTo>
                  <a:pt x="93" y="46"/>
                </a:lnTo>
                <a:lnTo>
                  <a:pt x="95" y="45"/>
                </a:lnTo>
                <a:lnTo>
                  <a:pt x="97" y="45"/>
                </a:lnTo>
                <a:lnTo>
                  <a:pt x="98" y="44"/>
                </a:lnTo>
                <a:lnTo>
                  <a:pt x="100" y="43"/>
                </a:lnTo>
                <a:lnTo>
                  <a:pt x="102" y="42"/>
                </a:lnTo>
                <a:lnTo>
                  <a:pt x="103" y="41"/>
                </a:lnTo>
                <a:lnTo>
                  <a:pt x="105" y="40"/>
                </a:lnTo>
                <a:lnTo>
                  <a:pt x="106" y="39"/>
                </a:lnTo>
                <a:lnTo>
                  <a:pt x="108" y="38"/>
                </a:lnTo>
                <a:lnTo>
                  <a:pt x="109" y="36"/>
                </a:lnTo>
                <a:lnTo>
                  <a:pt x="110" y="35"/>
                </a:lnTo>
                <a:lnTo>
                  <a:pt x="111" y="34"/>
                </a:lnTo>
                <a:lnTo>
                  <a:pt x="113" y="33"/>
                </a:lnTo>
                <a:lnTo>
                  <a:pt x="113" y="32"/>
                </a:lnTo>
                <a:lnTo>
                  <a:pt x="114" y="30"/>
                </a:lnTo>
                <a:lnTo>
                  <a:pt x="115" y="29"/>
                </a:lnTo>
                <a:lnTo>
                  <a:pt x="116" y="28"/>
                </a:lnTo>
                <a:lnTo>
                  <a:pt x="117" y="26"/>
                </a:lnTo>
                <a:lnTo>
                  <a:pt x="117" y="25"/>
                </a:lnTo>
                <a:lnTo>
                  <a:pt x="118" y="24"/>
                </a:lnTo>
                <a:lnTo>
                  <a:pt x="118" y="22"/>
                </a:lnTo>
                <a:lnTo>
                  <a:pt x="119" y="21"/>
                </a:lnTo>
                <a:lnTo>
                  <a:pt x="119" y="19"/>
                </a:lnTo>
                <a:lnTo>
                  <a:pt x="119" y="18"/>
                </a:lnTo>
                <a:lnTo>
                  <a:pt x="118" y="17"/>
                </a:lnTo>
                <a:lnTo>
                  <a:pt x="118" y="16"/>
                </a:lnTo>
                <a:lnTo>
                  <a:pt x="117" y="15"/>
                </a:lnTo>
                <a:lnTo>
                  <a:pt x="130" y="15"/>
                </a:lnTo>
                <a:lnTo>
                  <a:pt x="138" y="2"/>
                </a:lnTo>
                <a:close/>
                <a:moveTo>
                  <a:pt x="68" y="33"/>
                </a:moveTo>
                <a:lnTo>
                  <a:pt x="68" y="32"/>
                </a:lnTo>
                <a:lnTo>
                  <a:pt x="69" y="31"/>
                </a:lnTo>
                <a:lnTo>
                  <a:pt x="70" y="29"/>
                </a:lnTo>
                <a:lnTo>
                  <a:pt x="70" y="27"/>
                </a:lnTo>
                <a:lnTo>
                  <a:pt x="72" y="26"/>
                </a:lnTo>
                <a:lnTo>
                  <a:pt x="73" y="24"/>
                </a:lnTo>
                <a:lnTo>
                  <a:pt x="74" y="22"/>
                </a:lnTo>
                <a:lnTo>
                  <a:pt x="75" y="20"/>
                </a:lnTo>
                <a:lnTo>
                  <a:pt x="77" y="19"/>
                </a:lnTo>
                <a:lnTo>
                  <a:pt x="78" y="17"/>
                </a:lnTo>
                <a:lnTo>
                  <a:pt x="80" y="16"/>
                </a:lnTo>
                <a:lnTo>
                  <a:pt x="81" y="15"/>
                </a:lnTo>
                <a:lnTo>
                  <a:pt x="82" y="14"/>
                </a:lnTo>
                <a:lnTo>
                  <a:pt x="83" y="14"/>
                </a:lnTo>
                <a:lnTo>
                  <a:pt x="83" y="13"/>
                </a:lnTo>
                <a:lnTo>
                  <a:pt x="84" y="13"/>
                </a:lnTo>
                <a:lnTo>
                  <a:pt x="85" y="13"/>
                </a:lnTo>
                <a:lnTo>
                  <a:pt x="86" y="13"/>
                </a:lnTo>
                <a:lnTo>
                  <a:pt x="87" y="12"/>
                </a:lnTo>
                <a:lnTo>
                  <a:pt x="88" y="12"/>
                </a:lnTo>
                <a:lnTo>
                  <a:pt x="89" y="13"/>
                </a:lnTo>
                <a:lnTo>
                  <a:pt x="90" y="13"/>
                </a:lnTo>
                <a:lnTo>
                  <a:pt x="91" y="14"/>
                </a:lnTo>
                <a:lnTo>
                  <a:pt x="91" y="15"/>
                </a:lnTo>
                <a:lnTo>
                  <a:pt x="91" y="16"/>
                </a:lnTo>
                <a:lnTo>
                  <a:pt x="91" y="17"/>
                </a:lnTo>
                <a:lnTo>
                  <a:pt x="91" y="18"/>
                </a:lnTo>
                <a:lnTo>
                  <a:pt x="90" y="19"/>
                </a:lnTo>
                <a:lnTo>
                  <a:pt x="90" y="21"/>
                </a:lnTo>
                <a:lnTo>
                  <a:pt x="89" y="22"/>
                </a:lnTo>
                <a:lnTo>
                  <a:pt x="88" y="24"/>
                </a:lnTo>
                <a:lnTo>
                  <a:pt x="87" y="26"/>
                </a:lnTo>
                <a:lnTo>
                  <a:pt x="86" y="27"/>
                </a:lnTo>
                <a:lnTo>
                  <a:pt x="85" y="29"/>
                </a:lnTo>
                <a:lnTo>
                  <a:pt x="83" y="31"/>
                </a:lnTo>
                <a:lnTo>
                  <a:pt x="82" y="33"/>
                </a:lnTo>
                <a:lnTo>
                  <a:pt x="81" y="34"/>
                </a:lnTo>
                <a:lnTo>
                  <a:pt x="80" y="35"/>
                </a:lnTo>
                <a:lnTo>
                  <a:pt x="79" y="36"/>
                </a:lnTo>
                <a:lnTo>
                  <a:pt x="78" y="36"/>
                </a:lnTo>
                <a:lnTo>
                  <a:pt x="78" y="37"/>
                </a:lnTo>
                <a:lnTo>
                  <a:pt x="77" y="37"/>
                </a:lnTo>
                <a:lnTo>
                  <a:pt x="76" y="38"/>
                </a:lnTo>
                <a:lnTo>
                  <a:pt x="75" y="38"/>
                </a:lnTo>
                <a:lnTo>
                  <a:pt x="75" y="39"/>
                </a:lnTo>
                <a:lnTo>
                  <a:pt x="74" y="39"/>
                </a:lnTo>
                <a:lnTo>
                  <a:pt x="73" y="39"/>
                </a:lnTo>
                <a:lnTo>
                  <a:pt x="72" y="39"/>
                </a:lnTo>
                <a:lnTo>
                  <a:pt x="71" y="39"/>
                </a:lnTo>
                <a:lnTo>
                  <a:pt x="70" y="39"/>
                </a:lnTo>
                <a:lnTo>
                  <a:pt x="69" y="39"/>
                </a:lnTo>
                <a:lnTo>
                  <a:pt x="68" y="39"/>
                </a:lnTo>
                <a:lnTo>
                  <a:pt x="68" y="38"/>
                </a:lnTo>
                <a:lnTo>
                  <a:pt x="67" y="37"/>
                </a:lnTo>
                <a:lnTo>
                  <a:pt x="67" y="36"/>
                </a:lnTo>
                <a:lnTo>
                  <a:pt x="67" y="35"/>
                </a:lnTo>
                <a:lnTo>
                  <a:pt x="67" y="34"/>
                </a:lnTo>
                <a:lnTo>
                  <a:pt x="68" y="34"/>
                </a:lnTo>
                <a:lnTo>
                  <a:pt x="68" y="33"/>
                </a:lnTo>
                <a:close/>
                <a:moveTo>
                  <a:pt x="46" y="94"/>
                </a:moveTo>
                <a:lnTo>
                  <a:pt x="44" y="94"/>
                </a:lnTo>
                <a:lnTo>
                  <a:pt x="41" y="93"/>
                </a:lnTo>
                <a:lnTo>
                  <a:pt x="40" y="93"/>
                </a:lnTo>
                <a:lnTo>
                  <a:pt x="39" y="93"/>
                </a:lnTo>
                <a:lnTo>
                  <a:pt x="38" y="93"/>
                </a:lnTo>
                <a:lnTo>
                  <a:pt x="37" y="93"/>
                </a:lnTo>
                <a:lnTo>
                  <a:pt x="36" y="92"/>
                </a:lnTo>
                <a:lnTo>
                  <a:pt x="35" y="92"/>
                </a:lnTo>
                <a:lnTo>
                  <a:pt x="34" y="91"/>
                </a:lnTo>
                <a:lnTo>
                  <a:pt x="33" y="91"/>
                </a:lnTo>
                <a:lnTo>
                  <a:pt x="33" y="90"/>
                </a:lnTo>
                <a:lnTo>
                  <a:pt x="32" y="90"/>
                </a:lnTo>
                <a:lnTo>
                  <a:pt x="32" y="89"/>
                </a:lnTo>
                <a:lnTo>
                  <a:pt x="32" y="88"/>
                </a:lnTo>
                <a:lnTo>
                  <a:pt x="33" y="87"/>
                </a:lnTo>
                <a:lnTo>
                  <a:pt x="34" y="86"/>
                </a:lnTo>
                <a:lnTo>
                  <a:pt x="34" y="85"/>
                </a:lnTo>
                <a:lnTo>
                  <a:pt x="35" y="85"/>
                </a:lnTo>
                <a:lnTo>
                  <a:pt x="36" y="84"/>
                </a:lnTo>
                <a:lnTo>
                  <a:pt x="37" y="83"/>
                </a:lnTo>
                <a:lnTo>
                  <a:pt x="38" y="83"/>
                </a:lnTo>
                <a:lnTo>
                  <a:pt x="41" y="82"/>
                </a:lnTo>
                <a:lnTo>
                  <a:pt x="43" y="81"/>
                </a:lnTo>
                <a:lnTo>
                  <a:pt x="46" y="79"/>
                </a:lnTo>
                <a:lnTo>
                  <a:pt x="48" y="79"/>
                </a:lnTo>
                <a:lnTo>
                  <a:pt x="53" y="80"/>
                </a:lnTo>
                <a:lnTo>
                  <a:pt x="56" y="81"/>
                </a:lnTo>
                <a:lnTo>
                  <a:pt x="59" y="82"/>
                </a:lnTo>
                <a:lnTo>
                  <a:pt x="61" y="83"/>
                </a:lnTo>
                <a:lnTo>
                  <a:pt x="62" y="84"/>
                </a:lnTo>
                <a:lnTo>
                  <a:pt x="64" y="85"/>
                </a:lnTo>
                <a:lnTo>
                  <a:pt x="65" y="85"/>
                </a:lnTo>
                <a:lnTo>
                  <a:pt x="65" y="86"/>
                </a:lnTo>
                <a:lnTo>
                  <a:pt x="65" y="87"/>
                </a:lnTo>
                <a:lnTo>
                  <a:pt x="65" y="88"/>
                </a:lnTo>
                <a:lnTo>
                  <a:pt x="65" y="89"/>
                </a:lnTo>
                <a:lnTo>
                  <a:pt x="64" y="89"/>
                </a:lnTo>
                <a:lnTo>
                  <a:pt x="63" y="90"/>
                </a:lnTo>
                <a:lnTo>
                  <a:pt x="62" y="91"/>
                </a:lnTo>
                <a:lnTo>
                  <a:pt x="61" y="91"/>
                </a:lnTo>
                <a:lnTo>
                  <a:pt x="60" y="92"/>
                </a:lnTo>
                <a:lnTo>
                  <a:pt x="59" y="92"/>
                </a:lnTo>
                <a:lnTo>
                  <a:pt x="57" y="93"/>
                </a:lnTo>
                <a:lnTo>
                  <a:pt x="56" y="93"/>
                </a:lnTo>
                <a:lnTo>
                  <a:pt x="54" y="93"/>
                </a:lnTo>
                <a:lnTo>
                  <a:pt x="53" y="93"/>
                </a:lnTo>
                <a:lnTo>
                  <a:pt x="51" y="93"/>
                </a:lnTo>
                <a:lnTo>
                  <a:pt x="49" y="94"/>
                </a:lnTo>
                <a:lnTo>
                  <a:pt x="46" y="94"/>
                </a:lnTo>
                <a:close/>
              </a:path>
            </a:pathLst>
          </a:custGeom>
          <a:solidFill>
            <a:srgbClr val="00593C"/>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303178" name="Freeform 9">
            <a:extLst>
              <a:ext uri="{FF2B5EF4-FFF2-40B4-BE49-F238E27FC236}">
                <a16:creationId xmlns:a16="http://schemas.microsoft.com/office/drawing/2014/main" id="{C78FEDF7-0248-4CCA-A462-9B32B2B436B7}"/>
              </a:ext>
            </a:extLst>
          </xdr:cNvPr>
          <xdr:cNvSpPr>
            <a:spLocks/>
          </xdr:cNvSpPr>
        </xdr:nvSpPr>
        <xdr:spPr bwMode="auto">
          <a:xfrm>
            <a:off x="1124" y="1768"/>
            <a:ext cx="87" cy="75"/>
          </a:xfrm>
          <a:custGeom>
            <a:avLst/>
            <a:gdLst>
              <a:gd name="T0" fmla="*/ 0 w 107"/>
              <a:gd name="T1" fmla="*/ 19 h 77"/>
              <a:gd name="T2" fmla="*/ 2 w 107"/>
              <a:gd name="T3" fmla="*/ 19 h 77"/>
              <a:gd name="T4" fmla="*/ 2 w 107"/>
              <a:gd name="T5" fmla="*/ 19 h 77"/>
              <a:gd name="T6" fmla="*/ 2 w 107"/>
              <a:gd name="T7" fmla="*/ 19 h 77"/>
              <a:gd name="T8" fmla="*/ 2 w 107"/>
              <a:gd name="T9" fmla="*/ 19 h 77"/>
              <a:gd name="T10" fmla="*/ 2 w 107"/>
              <a:gd name="T11" fmla="*/ 19 h 77"/>
              <a:gd name="T12" fmla="*/ 2 w 107"/>
              <a:gd name="T13" fmla="*/ 19 h 77"/>
              <a:gd name="T14" fmla="*/ 2 w 107"/>
              <a:gd name="T15" fmla="*/ 19 h 77"/>
              <a:gd name="T16" fmla="*/ 2 w 107"/>
              <a:gd name="T17" fmla="*/ 19 h 77"/>
              <a:gd name="T18" fmla="*/ 2 w 107"/>
              <a:gd name="T19" fmla="*/ 19 h 77"/>
              <a:gd name="T20" fmla="*/ 2 w 107"/>
              <a:gd name="T21" fmla="*/ 19 h 77"/>
              <a:gd name="T22" fmla="*/ 2 w 107"/>
              <a:gd name="T23" fmla="*/ 19 h 77"/>
              <a:gd name="T24" fmla="*/ 2 w 107"/>
              <a:gd name="T25" fmla="*/ 19 h 77"/>
              <a:gd name="T26" fmla="*/ 2 w 107"/>
              <a:gd name="T27" fmla="*/ 19 h 77"/>
              <a:gd name="T28" fmla="*/ 2 w 107"/>
              <a:gd name="T29" fmla="*/ 19 h 77"/>
              <a:gd name="T30" fmla="*/ 2 w 107"/>
              <a:gd name="T31" fmla="*/ 19 h 77"/>
              <a:gd name="T32" fmla="*/ 2 w 107"/>
              <a:gd name="T33" fmla="*/ 19 h 77"/>
              <a:gd name="T34" fmla="*/ 2 w 107"/>
              <a:gd name="T35" fmla="*/ 19 h 77"/>
              <a:gd name="T36" fmla="*/ 2 w 107"/>
              <a:gd name="T37" fmla="*/ 1 h 77"/>
              <a:gd name="T38" fmla="*/ 2 w 107"/>
              <a:gd name="T39" fmla="*/ 1 h 77"/>
              <a:gd name="T40" fmla="*/ 2 w 107"/>
              <a:gd name="T41" fmla="*/ 0 h 77"/>
              <a:gd name="T42" fmla="*/ 2 w 107"/>
              <a:gd name="T43" fmla="*/ 1 h 77"/>
              <a:gd name="T44" fmla="*/ 2 w 107"/>
              <a:gd name="T45" fmla="*/ 1 h 77"/>
              <a:gd name="T46" fmla="*/ 2 w 107"/>
              <a:gd name="T47" fmla="*/ 2 h 77"/>
              <a:gd name="T48" fmla="*/ 2 w 107"/>
              <a:gd name="T49" fmla="*/ 4 h 77"/>
              <a:gd name="T50" fmla="*/ 2 w 107"/>
              <a:gd name="T51" fmla="*/ 5 h 77"/>
              <a:gd name="T52" fmla="*/ 2 w 107"/>
              <a:gd name="T53" fmla="*/ 7 h 77"/>
              <a:gd name="T54" fmla="*/ 2 w 107"/>
              <a:gd name="T55" fmla="*/ 9 h 77"/>
              <a:gd name="T56" fmla="*/ 2 w 107"/>
              <a:gd name="T57" fmla="*/ 12 h 77"/>
              <a:gd name="T58" fmla="*/ 2 w 107"/>
              <a:gd name="T59" fmla="*/ 16 h 77"/>
              <a:gd name="T60" fmla="*/ 2 w 107"/>
              <a:gd name="T61" fmla="*/ 19 h 77"/>
              <a:gd name="T62" fmla="*/ 2 w 107"/>
              <a:gd name="T63" fmla="*/ 19 h 77"/>
              <a:gd name="T64" fmla="*/ 2 w 107"/>
              <a:gd name="T65" fmla="*/ 2 h 77"/>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w 107"/>
              <a:gd name="T100" fmla="*/ 0 h 77"/>
              <a:gd name="T101" fmla="*/ 107 w 107"/>
              <a:gd name="T102" fmla="*/ 77 h 77"/>
            </a:gdLst>
            <a:ahLst/>
            <a:cxnLst>
              <a:cxn ang="T66">
                <a:pos x="T0" y="T1"/>
              </a:cxn>
              <a:cxn ang="T67">
                <a:pos x="T2" y="T3"/>
              </a:cxn>
              <a:cxn ang="T68">
                <a:pos x="T4" y="T5"/>
              </a:cxn>
              <a:cxn ang="T69">
                <a:pos x="T6" y="T7"/>
              </a:cxn>
              <a:cxn ang="T70">
                <a:pos x="T8" y="T9"/>
              </a:cxn>
              <a:cxn ang="T71">
                <a:pos x="T10" y="T11"/>
              </a:cxn>
              <a:cxn ang="T72">
                <a:pos x="T12" y="T13"/>
              </a:cxn>
              <a:cxn ang="T73">
                <a:pos x="T14" y="T15"/>
              </a:cxn>
              <a:cxn ang="T74">
                <a:pos x="T16" y="T17"/>
              </a:cxn>
              <a:cxn ang="T75">
                <a:pos x="T18" y="T19"/>
              </a:cxn>
              <a:cxn ang="T76">
                <a:pos x="T20" y="T21"/>
              </a:cxn>
              <a:cxn ang="T77">
                <a:pos x="T22" y="T23"/>
              </a:cxn>
              <a:cxn ang="T78">
                <a:pos x="T24" y="T25"/>
              </a:cxn>
              <a:cxn ang="T79">
                <a:pos x="T26" y="T27"/>
              </a:cxn>
              <a:cxn ang="T80">
                <a:pos x="T28" y="T29"/>
              </a:cxn>
              <a:cxn ang="T81">
                <a:pos x="T30" y="T31"/>
              </a:cxn>
              <a:cxn ang="T82">
                <a:pos x="T32" y="T33"/>
              </a:cxn>
              <a:cxn ang="T83">
                <a:pos x="T34" y="T35"/>
              </a:cxn>
              <a:cxn ang="T84">
                <a:pos x="T36" y="T37"/>
              </a:cxn>
              <a:cxn ang="T85">
                <a:pos x="T38" y="T39"/>
              </a:cxn>
              <a:cxn ang="T86">
                <a:pos x="T40" y="T41"/>
              </a:cxn>
              <a:cxn ang="T87">
                <a:pos x="T42" y="T43"/>
              </a:cxn>
              <a:cxn ang="T88">
                <a:pos x="T44" y="T45"/>
              </a:cxn>
              <a:cxn ang="T89">
                <a:pos x="T46" y="T47"/>
              </a:cxn>
              <a:cxn ang="T90">
                <a:pos x="T48" y="T49"/>
              </a:cxn>
              <a:cxn ang="T91">
                <a:pos x="T50" y="T51"/>
              </a:cxn>
              <a:cxn ang="T92">
                <a:pos x="T52" y="T53"/>
              </a:cxn>
              <a:cxn ang="T93">
                <a:pos x="T54" y="T55"/>
              </a:cxn>
              <a:cxn ang="T94">
                <a:pos x="T56" y="T57"/>
              </a:cxn>
              <a:cxn ang="T95">
                <a:pos x="T58" y="T59"/>
              </a:cxn>
              <a:cxn ang="T96">
                <a:pos x="T60" y="T61"/>
              </a:cxn>
              <a:cxn ang="T97">
                <a:pos x="T62" y="T63"/>
              </a:cxn>
              <a:cxn ang="T98">
                <a:pos x="T64" y="T65"/>
              </a:cxn>
            </a:cxnLst>
            <a:rect l="T99" t="T100" r="T101" b="T102"/>
            <a:pathLst>
              <a:path w="107" h="77">
                <a:moveTo>
                  <a:pt x="45" y="2"/>
                </a:moveTo>
                <a:lnTo>
                  <a:pt x="0" y="77"/>
                </a:lnTo>
                <a:lnTo>
                  <a:pt x="31" y="77"/>
                </a:lnTo>
                <a:lnTo>
                  <a:pt x="35" y="71"/>
                </a:lnTo>
                <a:lnTo>
                  <a:pt x="39" y="66"/>
                </a:lnTo>
                <a:lnTo>
                  <a:pt x="41" y="63"/>
                </a:lnTo>
                <a:lnTo>
                  <a:pt x="43" y="60"/>
                </a:lnTo>
                <a:lnTo>
                  <a:pt x="45" y="57"/>
                </a:lnTo>
                <a:lnTo>
                  <a:pt x="47" y="55"/>
                </a:lnTo>
                <a:lnTo>
                  <a:pt x="49" y="52"/>
                </a:lnTo>
                <a:lnTo>
                  <a:pt x="51" y="49"/>
                </a:lnTo>
                <a:lnTo>
                  <a:pt x="53" y="47"/>
                </a:lnTo>
                <a:lnTo>
                  <a:pt x="55" y="44"/>
                </a:lnTo>
                <a:lnTo>
                  <a:pt x="57" y="42"/>
                </a:lnTo>
                <a:lnTo>
                  <a:pt x="59" y="40"/>
                </a:lnTo>
                <a:lnTo>
                  <a:pt x="61" y="38"/>
                </a:lnTo>
                <a:lnTo>
                  <a:pt x="64" y="35"/>
                </a:lnTo>
                <a:lnTo>
                  <a:pt x="65" y="34"/>
                </a:lnTo>
                <a:lnTo>
                  <a:pt x="67" y="33"/>
                </a:lnTo>
                <a:lnTo>
                  <a:pt x="69" y="31"/>
                </a:lnTo>
                <a:lnTo>
                  <a:pt x="70" y="30"/>
                </a:lnTo>
                <a:lnTo>
                  <a:pt x="72" y="29"/>
                </a:lnTo>
                <a:lnTo>
                  <a:pt x="73" y="28"/>
                </a:lnTo>
                <a:lnTo>
                  <a:pt x="75" y="27"/>
                </a:lnTo>
                <a:lnTo>
                  <a:pt x="77" y="26"/>
                </a:lnTo>
                <a:lnTo>
                  <a:pt x="78" y="25"/>
                </a:lnTo>
                <a:lnTo>
                  <a:pt x="80" y="24"/>
                </a:lnTo>
                <a:lnTo>
                  <a:pt x="82" y="23"/>
                </a:lnTo>
                <a:lnTo>
                  <a:pt x="83" y="23"/>
                </a:lnTo>
                <a:lnTo>
                  <a:pt x="85" y="22"/>
                </a:lnTo>
                <a:lnTo>
                  <a:pt x="86" y="22"/>
                </a:lnTo>
                <a:lnTo>
                  <a:pt x="88" y="22"/>
                </a:lnTo>
                <a:lnTo>
                  <a:pt x="89" y="22"/>
                </a:lnTo>
                <a:lnTo>
                  <a:pt x="91" y="22"/>
                </a:lnTo>
                <a:lnTo>
                  <a:pt x="92" y="22"/>
                </a:lnTo>
                <a:lnTo>
                  <a:pt x="93" y="22"/>
                </a:lnTo>
                <a:lnTo>
                  <a:pt x="94" y="22"/>
                </a:lnTo>
                <a:lnTo>
                  <a:pt x="107" y="1"/>
                </a:lnTo>
                <a:lnTo>
                  <a:pt x="106" y="1"/>
                </a:lnTo>
                <a:lnTo>
                  <a:pt x="105" y="1"/>
                </a:lnTo>
                <a:lnTo>
                  <a:pt x="104" y="1"/>
                </a:lnTo>
                <a:lnTo>
                  <a:pt x="102" y="0"/>
                </a:lnTo>
                <a:lnTo>
                  <a:pt x="101" y="1"/>
                </a:lnTo>
                <a:lnTo>
                  <a:pt x="99" y="1"/>
                </a:lnTo>
                <a:lnTo>
                  <a:pt x="97" y="1"/>
                </a:lnTo>
                <a:lnTo>
                  <a:pt x="96" y="1"/>
                </a:lnTo>
                <a:lnTo>
                  <a:pt x="94" y="2"/>
                </a:lnTo>
                <a:lnTo>
                  <a:pt x="92" y="2"/>
                </a:lnTo>
                <a:lnTo>
                  <a:pt x="91" y="3"/>
                </a:lnTo>
                <a:lnTo>
                  <a:pt x="89" y="4"/>
                </a:lnTo>
                <a:lnTo>
                  <a:pt x="88" y="4"/>
                </a:lnTo>
                <a:lnTo>
                  <a:pt x="86" y="5"/>
                </a:lnTo>
                <a:lnTo>
                  <a:pt x="85" y="6"/>
                </a:lnTo>
                <a:lnTo>
                  <a:pt x="83" y="7"/>
                </a:lnTo>
                <a:lnTo>
                  <a:pt x="81" y="8"/>
                </a:lnTo>
                <a:lnTo>
                  <a:pt x="80" y="9"/>
                </a:lnTo>
                <a:lnTo>
                  <a:pt x="79" y="10"/>
                </a:lnTo>
                <a:lnTo>
                  <a:pt x="77" y="12"/>
                </a:lnTo>
                <a:lnTo>
                  <a:pt x="74" y="14"/>
                </a:lnTo>
                <a:lnTo>
                  <a:pt x="72" y="16"/>
                </a:lnTo>
                <a:lnTo>
                  <a:pt x="69" y="19"/>
                </a:lnTo>
                <a:lnTo>
                  <a:pt x="66" y="22"/>
                </a:lnTo>
                <a:lnTo>
                  <a:pt x="62" y="27"/>
                </a:lnTo>
                <a:lnTo>
                  <a:pt x="57" y="31"/>
                </a:lnTo>
                <a:lnTo>
                  <a:pt x="75" y="2"/>
                </a:lnTo>
                <a:lnTo>
                  <a:pt x="45" y="2"/>
                </a:lnTo>
                <a:close/>
              </a:path>
            </a:pathLst>
          </a:custGeom>
          <a:solidFill>
            <a:srgbClr val="00593C"/>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303179" name="Freeform 10">
            <a:extLst>
              <a:ext uri="{FF2B5EF4-FFF2-40B4-BE49-F238E27FC236}">
                <a16:creationId xmlns:a16="http://schemas.microsoft.com/office/drawing/2014/main" id="{68954429-1F10-46DF-93D7-FD6AD2EF72C5}"/>
              </a:ext>
            </a:extLst>
          </xdr:cNvPr>
          <xdr:cNvSpPr>
            <a:spLocks noEditPoints="1"/>
          </xdr:cNvSpPr>
        </xdr:nvSpPr>
        <xdr:spPr bwMode="auto">
          <a:xfrm>
            <a:off x="1186" y="1737"/>
            <a:ext cx="78" cy="106"/>
          </a:xfrm>
          <a:custGeom>
            <a:avLst/>
            <a:gdLst>
              <a:gd name="T0" fmla="*/ 2 w 96"/>
              <a:gd name="T1" fmla="*/ 27 h 108"/>
              <a:gd name="T2" fmla="*/ 0 w 96"/>
              <a:gd name="T3" fmla="*/ 27 h 108"/>
              <a:gd name="T4" fmla="*/ 2 w 96"/>
              <a:gd name="T5" fmla="*/ 27 h 108"/>
              <a:gd name="T6" fmla="*/ 2 w 96"/>
              <a:gd name="T7" fmla="*/ 27 h 108"/>
              <a:gd name="T8" fmla="*/ 2 w 96"/>
              <a:gd name="T9" fmla="*/ 27 h 108"/>
              <a:gd name="T10" fmla="*/ 2 w 96"/>
              <a:gd name="T11" fmla="*/ 0 h 108"/>
              <a:gd name="T12" fmla="*/ 2 w 96"/>
              <a:gd name="T13" fmla="*/ 17 h 108"/>
              <a:gd name="T14" fmla="*/ 2 w 96"/>
              <a:gd name="T15" fmla="*/ 25 h 108"/>
              <a:gd name="T16" fmla="*/ 2 w 96"/>
              <a:gd name="T17" fmla="*/ 19 h 108"/>
              <a:gd name="T18" fmla="*/ 2 w 96"/>
              <a:gd name="T19" fmla="*/ 0 h 108"/>
              <a:gd name="T20" fmla="*/ 0 60000 65536"/>
              <a:gd name="T21" fmla="*/ 0 60000 65536"/>
              <a:gd name="T22" fmla="*/ 0 60000 65536"/>
              <a:gd name="T23" fmla="*/ 0 60000 65536"/>
              <a:gd name="T24" fmla="*/ 0 60000 65536"/>
              <a:gd name="T25" fmla="*/ 0 60000 65536"/>
              <a:gd name="T26" fmla="*/ 0 60000 65536"/>
              <a:gd name="T27" fmla="*/ 0 60000 65536"/>
              <a:gd name="T28" fmla="*/ 0 60000 65536"/>
              <a:gd name="T29" fmla="*/ 0 60000 65536"/>
              <a:gd name="T30" fmla="*/ 0 w 96"/>
              <a:gd name="T31" fmla="*/ 0 h 108"/>
              <a:gd name="T32" fmla="*/ 96 w 96"/>
              <a:gd name="T33" fmla="*/ 108 h 108"/>
            </a:gdLst>
            <a:ahLst/>
            <a:cxnLst>
              <a:cxn ang="T20">
                <a:pos x="T0" y="T1"/>
              </a:cxn>
              <a:cxn ang="T21">
                <a:pos x="T2" y="T3"/>
              </a:cxn>
              <a:cxn ang="T22">
                <a:pos x="T4" y="T5"/>
              </a:cxn>
              <a:cxn ang="T23">
                <a:pos x="T6" y="T7"/>
              </a:cxn>
              <a:cxn ang="T24">
                <a:pos x="T8" y="T9"/>
              </a:cxn>
              <a:cxn ang="T25">
                <a:pos x="T10" y="T11"/>
              </a:cxn>
              <a:cxn ang="T26">
                <a:pos x="T12" y="T13"/>
              </a:cxn>
              <a:cxn ang="T27">
                <a:pos x="T14" y="T15"/>
              </a:cxn>
              <a:cxn ang="T28">
                <a:pos x="T16" y="T17"/>
              </a:cxn>
              <a:cxn ang="T29">
                <a:pos x="T18" y="T19"/>
              </a:cxn>
            </a:cxnLst>
            <a:rect l="T30" t="T31" r="T32" b="T33"/>
            <a:pathLst>
              <a:path w="96" h="108">
                <a:moveTo>
                  <a:pt x="44" y="33"/>
                </a:moveTo>
                <a:lnTo>
                  <a:pt x="0" y="108"/>
                </a:lnTo>
                <a:lnTo>
                  <a:pt x="32" y="108"/>
                </a:lnTo>
                <a:lnTo>
                  <a:pt x="77" y="33"/>
                </a:lnTo>
                <a:lnTo>
                  <a:pt x="44" y="33"/>
                </a:lnTo>
                <a:close/>
                <a:moveTo>
                  <a:pt x="94" y="0"/>
                </a:moveTo>
                <a:lnTo>
                  <a:pt x="48" y="17"/>
                </a:lnTo>
                <a:lnTo>
                  <a:pt x="49" y="25"/>
                </a:lnTo>
                <a:lnTo>
                  <a:pt x="96" y="19"/>
                </a:lnTo>
                <a:lnTo>
                  <a:pt x="94" y="0"/>
                </a:lnTo>
                <a:close/>
              </a:path>
            </a:pathLst>
          </a:custGeom>
          <a:solidFill>
            <a:srgbClr val="00593C"/>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303180" name="Freeform 11">
            <a:extLst>
              <a:ext uri="{FF2B5EF4-FFF2-40B4-BE49-F238E27FC236}">
                <a16:creationId xmlns:a16="http://schemas.microsoft.com/office/drawing/2014/main" id="{21D9A03F-15A0-4C32-9169-2F25E003AD0C}"/>
              </a:ext>
            </a:extLst>
          </xdr:cNvPr>
          <xdr:cNvSpPr>
            <a:spLocks/>
          </xdr:cNvSpPr>
        </xdr:nvSpPr>
        <xdr:spPr bwMode="auto">
          <a:xfrm>
            <a:off x="1239" y="1768"/>
            <a:ext cx="87" cy="76"/>
          </a:xfrm>
          <a:custGeom>
            <a:avLst/>
            <a:gdLst>
              <a:gd name="T0" fmla="*/ 2 w 107"/>
              <a:gd name="T1" fmla="*/ 2 h 78"/>
              <a:gd name="T2" fmla="*/ 2 w 107"/>
              <a:gd name="T3" fmla="*/ 1 h 78"/>
              <a:gd name="T4" fmla="*/ 2 w 107"/>
              <a:gd name="T5" fmla="*/ 0 h 78"/>
              <a:gd name="T6" fmla="*/ 2 w 107"/>
              <a:gd name="T7" fmla="*/ 1 h 78"/>
              <a:gd name="T8" fmla="*/ 2 w 107"/>
              <a:gd name="T9" fmla="*/ 4 h 78"/>
              <a:gd name="T10" fmla="*/ 2 w 107"/>
              <a:gd name="T11" fmla="*/ 7 h 78"/>
              <a:gd name="T12" fmla="*/ 2 w 107"/>
              <a:gd name="T13" fmla="*/ 12 h 78"/>
              <a:gd name="T14" fmla="*/ 2 w 107"/>
              <a:gd name="T15" fmla="*/ 17 h 78"/>
              <a:gd name="T16" fmla="*/ 2 w 107"/>
              <a:gd name="T17" fmla="*/ 19 h 78"/>
              <a:gd name="T18" fmla="*/ 2 w 107"/>
              <a:gd name="T19" fmla="*/ 19 h 78"/>
              <a:gd name="T20" fmla="*/ 2 w 107"/>
              <a:gd name="T21" fmla="*/ 19 h 78"/>
              <a:gd name="T22" fmla="*/ 2 w 107"/>
              <a:gd name="T23" fmla="*/ 19 h 78"/>
              <a:gd name="T24" fmla="*/ 2 w 107"/>
              <a:gd name="T25" fmla="*/ 19 h 78"/>
              <a:gd name="T26" fmla="*/ 1 w 107"/>
              <a:gd name="T27" fmla="*/ 19 h 78"/>
              <a:gd name="T28" fmla="*/ 0 w 107"/>
              <a:gd name="T29" fmla="*/ 19 h 78"/>
              <a:gd name="T30" fmla="*/ 0 w 107"/>
              <a:gd name="T31" fmla="*/ 19 h 78"/>
              <a:gd name="T32" fmla="*/ 1 w 107"/>
              <a:gd name="T33" fmla="*/ 19 h 78"/>
              <a:gd name="T34" fmla="*/ 2 w 107"/>
              <a:gd name="T35" fmla="*/ 19 h 78"/>
              <a:gd name="T36" fmla="*/ 2 w 107"/>
              <a:gd name="T37" fmla="*/ 19 h 78"/>
              <a:gd name="T38" fmla="*/ 2 w 107"/>
              <a:gd name="T39" fmla="*/ 19 h 78"/>
              <a:gd name="T40" fmla="*/ 2 w 107"/>
              <a:gd name="T41" fmla="*/ 19 h 78"/>
              <a:gd name="T42" fmla="*/ 2 w 107"/>
              <a:gd name="T43" fmla="*/ 19 h 78"/>
              <a:gd name="T44" fmla="*/ 2 w 107"/>
              <a:gd name="T45" fmla="*/ 19 h 78"/>
              <a:gd name="T46" fmla="*/ 2 w 107"/>
              <a:gd name="T47" fmla="*/ 19 h 78"/>
              <a:gd name="T48" fmla="*/ 2 w 107"/>
              <a:gd name="T49" fmla="*/ 19 h 78"/>
              <a:gd name="T50" fmla="*/ 2 w 107"/>
              <a:gd name="T51" fmla="*/ 19 h 78"/>
              <a:gd name="T52" fmla="*/ 2 w 107"/>
              <a:gd name="T53" fmla="*/ 19 h 78"/>
              <a:gd name="T54" fmla="*/ 2 w 107"/>
              <a:gd name="T55" fmla="*/ 19 h 78"/>
              <a:gd name="T56" fmla="*/ 2 w 107"/>
              <a:gd name="T57" fmla="*/ 19 h 78"/>
              <a:gd name="T58" fmla="*/ 2 w 107"/>
              <a:gd name="T59" fmla="*/ 19 h 78"/>
              <a:gd name="T60" fmla="*/ 2 w 107"/>
              <a:gd name="T61" fmla="*/ 19 h 78"/>
              <a:gd name="T62" fmla="*/ 2 w 107"/>
              <a:gd name="T63" fmla="*/ 19 h 78"/>
              <a:gd name="T64" fmla="*/ 2 w 107"/>
              <a:gd name="T65" fmla="*/ 19 h 78"/>
              <a:gd name="T66" fmla="*/ 2 w 107"/>
              <a:gd name="T67" fmla="*/ 19 h 78"/>
              <a:gd name="T68" fmla="*/ 2 w 107"/>
              <a:gd name="T69" fmla="*/ 19 h 78"/>
              <a:gd name="T70" fmla="*/ 2 w 107"/>
              <a:gd name="T71" fmla="*/ 19 h 78"/>
              <a:gd name="T72" fmla="*/ 2 w 107"/>
              <a:gd name="T73" fmla="*/ 19 h 78"/>
              <a:gd name="T74" fmla="*/ 2 w 107"/>
              <a:gd name="T75" fmla="*/ 19 h 78"/>
              <a:gd name="T76" fmla="*/ 2 w 107"/>
              <a:gd name="T77" fmla="*/ 19 h 78"/>
              <a:gd name="T78" fmla="*/ 2 w 107"/>
              <a:gd name="T79" fmla="*/ 19 h 78"/>
              <a:gd name="T80" fmla="*/ 2 w 107"/>
              <a:gd name="T81" fmla="*/ 19 h 78"/>
              <a:gd name="T82" fmla="*/ 2 w 107"/>
              <a:gd name="T83" fmla="*/ 19 h 78"/>
              <a:gd name="T84" fmla="*/ 2 w 107"/>
              <a:gd name="T85" fmla="*/ 19 h 78"/>
              <a:gd name="T86" fmla="*/ 2 w 107"/>
              <a:gd name="T87" fmla="*/ 19 h 78"/>
              <a:gd name="T88" fmla="*/ 2 w 107"/>
              <a:gd name="T89" fmla="*/ 19 h 78"/>
              <a:gd name="T90" fmla="*/ 2 w 107"/>
              <a:gd name="T91" fmla="*/ 19 h 78"/>
              <a:gd name="T92" fmla="*/ 2 w 107"/>
              <a:gd name="T93" fmla="*/ 19 h 78"/>
              <a:gd name="T94" fmla="*/ 2 w 107"/>
              <a:gd name="T95" fmla="*/ 19 h 78"/>
              <a:gd name="T96" fmla="*/ 2 w 107"/>
              <a:gd name="T97" fmla="*/ 17 h 78"/>
              <a:gd name="T98" fmla="*/ 2 w 107"/>
              <a:gd name="T99" fmla="*/ 15 h 78"/>
              <a:gd name="T100" fmla="*/ 2 w 107"/>
              <a:gd name="T101" fmla="*/ 15 h 78"/>
              <a:gd name="T102" fmla="*/ 2 w 107"/>
              <a:gd name="T103" fmla="*/ 16 h 78"/>
              <a:gd name="T104" fmla="*/ 2 w 107"/>
              <a:gd name="T105" fmla="*/ 16 h 78"/>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w 107"/>
              <a:gd name="T160" fmla="*/ 0 h 78"/>
              <a:gd name="T161" fmla="*/ 107 w 107"/>
              <a:gd name="T162" fmla="*/ 78 h 78"/>
            </a:gdLst>
            <a:ahLst/>
            <a:cxnLst>
              <a:cxn ang="T106">
                <a:pos x="T0" y="T1"/>
              </a:cxn>
              <a:cxn ang="T107">
                <a:pos x="T2" y="T3"/>
              </a:cxn>
              <a:cxn ang="T108">
                <a:pos x="T4" y="T5"/>
              </a:cxn>
              <a:cxn ang="T109">
                <a:pos x="T6" y="T7"/>
              </a:cxn>
              <a:cxn ang="T110">
                <a:pos x="T8" y="T9"/>
              </a:cxn>
              <a:cxn ang="T111">
                <a:pos x="T10" y="T11"/>
              </a:cxn>
              <a:cxn ang="T112">
                <a:pos x="T12" y="T13"/>
              </a:cxn>
              <a:cxn ang="T113">
                <a:pos x="T14" y="T15"/>
              </a:cxn>
              <a:cxn ang="T114">
                <a:pos x="T16" y="T17"/>
              </a:cxn>
              <a:cxn ang="T115">
                <a:pos x="T18" y="T19"/>
              </a:cxn>
              <a:cxn ang="T116">
                <a:pos x="T20" y="T21"/>
              </a:cxn>
              <a:cxn ang="T117">
                <a:pos x="T22" y="T23"/>
              </a:cxn>
              <a:cxn ang="T118">
                <a:pos x="T24" y="T25"/>
              </a:cxn>
              <a:cxn ang="T119">
                <a:pos x="T26" y="T27"/>
              </a:cxn>
              <a:cxn ang="T120">
                <a:pos x="T28" y="T29"/>
              </a:cxn>
              <a:cxn ang="T121">
                <a:pos x="T30" y="T31"/>
              </a:cxn>
              <a:cxn ang="T122">
                <a:pos x="T32" y="T33"/>
              </a:cxn>
              <a:cxn ang="T123">
                <a:pos x="T34" y="T35"/>
              </a:cxn>
              <a:cxn ang="T124">
                <a:pos x="T36" y="T37"/>
              </a:cxn>
              <a:cxn ang="T125">
                <a:pos x="T38" y="T39"/>
              </a:cxn>
              <a:cxn ang="T126">
                <a:pos x="T40" y="T41"/>
              </a:cxn>
              <a:cxn ang="T127">
                <a:pos x="T42" y="T43"/>
              </a:cxn>
              <a:cxn ang="T128">
                <a:pos x="T44" y="T45"/>
              </a:cxn>
              <a:cxn ang="T129">
                <a:pos x="T46" y="T47"/>
              </a:cxn>
              <a:cxn ang="T130">
                <a:pos x="T48" y="T49"/>
              </a:cxn>
              <a:cxn ang="T131">
                <a:pos x="T50" y="T51"/>
              </a:cxn>
              <a:cxn ang="T132">
                <a:pos x="T52" y="T53"/>
              </a:cxn>
              <a:cxn ang="T133">
                <a:pos x="T54" y="T55"/>
              </a:cxn>
              <a:cxn ang="T134">
                <a:pos x="T56" y="T57"/>
              </a:cxn>
              <a:cxn ang="T135">
                <a:pos x="T58" y="T59"/>
              </a:cxn>
              <a:cxn ang="T136">
                <a:pos x="T60" y="T61"/>
              </a:cxn>
              <a:cxn ang="T137">
                <a:pos x="T62" y="T63"/>
              </a:cxn>
              <a:cxn ang="T138">
                <a:pos x="T64" y="T65"/>
              </a:cxn>
              <a:cxn ang="T139">
                <a:pos x="T66" y="T67"/>
              </a:cxn>
              <a:cxn ang="T140">
                <a:pos x="T68" y="T69"/>
              </a:cxn>
              <a:cxn ang="T141">
                <a:pos x="T70" y="T71"/>
              </a:cxn>
              <a:cxn ang="T142">
                <a:pos x="T72" y="T73"/>
              </a:cxn>
              <a:cxn ang="T143">
                <a:pos x="T74" y="T75"/>
              </a:cxn>
              <a:cxn ang="T144">
                <a:pos x="T76" y="T77"/>
              </a:cxn>
              <a:cxn ang="T145">
                <a:pos x="T78" y="T79"/>
              </a:cxn>
              <a:cxn ang="T146">
                <a:pos x="T80" y="T81"/>
              </a:cxn>
              <a:cxn ang="T147">
                <a:pos x="T82" y="T83"/>
              </a:cxn>
              <a:cxn ang="T148">
                <a:pos x="T84" y="T85"/>
              </a:cxn>
              <a:cxn ang="T149">
                <a:pos x="T86" y="T87"/>
              </a:cxn>
              <a:cxn ang="T150">
                <a:pos x="T88" y="T89"/>
              </a:cxn>
              <a:cxn ang="T151">
                <a:pos x="T90" y="T91"/>
              </a:cxn>
              <a:cxn ang="T152">
                <a:pos x="T92" y="T93"/>
              </a:cxn>
              <a:cxn ang="T153">
                <a:pos x="T94" y="T95"/>
              </a:cxn>
              <a:cxn ang="T154">
                <a:pos x="T96" y="T97"/>
              </a:cxn>
              <a:cxn ang="T155">
                <a:pos x="T98" y="T99"/>
              </a:cxn>
              <a:cxn ang="T156">
                <a:pos x="T100" y="T101"/>
              </a:cxn>
              <a:cxn ang="T157">
                <a:pos x="T102" y="T103"/>
              </a:cxn>
              <a:cxn ang="T158">
                <a:pos x="T104" y="T105"/>
              </a:cxn>
            </a:cxnLst>
            <a:rect l="T159" t="T160" r="T161" b="T162"/>
            <a:pathLst>
              <a:path w="107" h="78">
                <a:moveTo>
                  <a:pt x="107" y="4"/>
                </a:moveTo>
                <a:lnTo>
                  <a:pt x="104" y="3"/>
                </a:lnTo>
                <a:lnTo>
                  <a:pt x="101" y="2"/>
                </a:lnTo>
                <a:lnTo>
                  <a:pt x="99" y="2"/>
                </a:lnTo>
                <a:lnTo>
                  <a:pt x="96" y="1"/>
                </a:lnTo>
                <a:lnTo>
                  <a:pt x="94" y="1"/>
                </a:lnTo>
                <a:lnTo>
                  <a:pt x="91" y="1"/>
                </a:lnTo>
                <a:lnTo>
                  <a:pt x="88" y="0"/>
                </a:lnTo>
                <a:lnTo>
                  <a:pt x="85" y="0"/>
                </a:lnTo>
                <a:lnTo>
                  <a:pt x="81" y="1"/>
                </a:lnTo>
                <a:lnTo>
                  <a:pt x="77" y="1"/>
                </a:lnTo>
                <a:lnTo>
                  <a:pt x="73" y="1"/>
                </a:lnTo>
                <a:lnTo>
                  <a:pt x="69" y="2"/>
                </a:lnTo>
                <a:lnTo>
                  <a:pt x="66" y="3"/>
                </a:lnTo>
                <a:lnTo>
                  <a:pt x="62" y="4"/>
                </a:lnTo>
                <a:lnTo>
                  <a:pt x="58" y="5"/>
                </a:lnTo>
                <a:lnTo>
                  <a:pt x="55" y="6"/>
                </a:lnTo>
                <a:lnTo>
                  <a:pt x="51" y="7"/>
                </a:lnTo>
                <a:lnTo>
                  <a:pt x="48" y="8"/>
                </a:lnTo>
                <a:lnTo>
                  <a:pt x="45" y="10"/>
                </a:lnTo>
                <a:lnTo>
                  <a:pt x="42" y="12"/>
                </a:lnTo>
                <a:lnTo>
                  <a:pt x="39" y="13"/>
                </a:lnTo>
                <a:lnTo>
                  <a:pt x="36" y="15"/>
                </a:lnTo>
                <a:lnTo>
                  <a:pt x="33" y="17"/>
                </a:lnTo>
                <a:lnTo>
                  <a:pt x="30" y="19"/>
                </a:lnTo>
                <a:lnTo>
                  <a:pt x="27" y="21"/>
                </a:lnTo>
                <a:lnTo>
                  <a:pt x="24" y="23"/>
                </a:lnTo>
                <a:lnTo>
                  <a:pt x="22" y="25"/>
                </a:lnTo>
                <a:lnTo>
                  <a:pt x="20" y="27"/>
                </a:lnTo>
                <a:lnTo>
                  <a:pt x="17" y="30"/>
                </a:lnTo>
                <a:lnTo>
                  <a:pt x="15" y="32"/>
                </a:lnTo>
                <a:lnTo>
                  <a:pt x="13" y="34"/>
                </a:lnTo>
                <a:lnTo>
                  <a:pt x="11" y="36"/>
                </a:lnTo>
                <a:lnTo>
                  <a:pt x="10" y="39"/>
                </a:lnTo>
                <a:lnTo>
                  <a:pt x="8" y="41"/>
                </a:lnTo>
                <a:lnTo>
                  <a:pt x="6" y="43"/>
                </a:lnTo>
                <a:lnTo>
                  <a:pt x="5" y="45"/>
                </a:lnTo>
                <a:lnTo>
                  <a:pt x="4" y="47"/>
                </a:lnTo>
                <a:lnTo>
                  <a:pt x="3" y="50"/>
                </a:lnTo>
                <a:lnTo>
                  <a:pt x="2" y="52"/>
                </a:lnTo>
                <a:lnTo>
                  <a:pt x="1" y="54"/>
                </a:lnTo>
                <a:lnTo>
                  <a:pt x="1" y="55"/>
                </a:lnTo>
                <a:lnTo>
                  <a:pt x="0" y="57"/>
                </a:lnTo>
                <a:lnTo>
                  <a:pt x="0" y="58"/>
                </a:lnTo>
                <a:lnTo>
                  <a:pt x="0" y="59"/>
                </a:lnTo>
                <a:lnTo>
                  <a:pt x="0" y="61"/>
                </a:lnTo>
                <a:lnTo>
                  <a:pt x="0" y="62"/>
                </a:lnTo>
                <a:lnTo>
                  <a:pt x="0" y="63"/>
                </a:lnTo>
                <a:lnTo>
                  <a:pt x="0" y="64"/>
                </a:lnTo>
                <a:lnTo>
                  <a:pt x="0" y="65"/>
                </a:lnTo>
                <a:lnTo>
                  <a:pt x="1" y="67"/>
                </a:lnTo>
                <a:lnTo>
                  <a:pt x="1" y="68"/>
                </a:lnTo>
                <a:lnTo>
                  <a:pt x="2" y="69"/>
                </a:lnTo>
                <a:lnTo>
                  <a:pt x="3" y="70"/>
                </a:lnTo>
                <a:lnTo>
                  <a:pt x="4" y="71"/>
                </a:lnTo>
                <a:lnTo>
                  <a:pt x="4" y="72"/>
                </a:lnTo>
                <a:lnTo>
                  <a:pt x="5" y="73"/>
                </a:lnTo>
                <a:lnTo>
                  <a:pt x="6" y="73"/>
                </a:lnTo>
                <a:lnTo>
                  <a:pt x="7" y="74"/>
                </a:lnTo>
                <a:lnTo>
                  <a:pt x="8" y="75"/>
                </a:lnTo>
                <a:lnTo>
                  <a:pt x="9" y="75"/>
                </a:lnTo>
                <a:lnTo>
                  <a:pt x="10" y="76"/>
                </a:lnTo>
                <a:lnTo>
                  <a:pt x="12" y="76"/>
                </a:lnTo>
                <a:lnTo>
                  <a:pt x="13" y="77"/>
                </a:lnTo>
                <a:lnTo>
                  <a:pt x="14" y="77"/>
                </a:lnTo>
                <a:lnTo>
                  <a:pt x="16" y="77"/>
                </a:lnTo>
                <a:lnTo>
                  <a:pt x="17" y="78"/>
                </a:lnTo>
                <a:lnTo>
                  <a:pt x="19" y="78"/>
                </a:lnTo>
                <a:lnTo>
                  <a:pt x="21" y="78"/>
                </a:lnTo>
                <a:lnTo>
                  <a:pt x="22" y="78"/>
                </a:lnTo>
                <a:lnTo>
                  <a:pt x="24" y="78"/>
                </a:lnTo>
                <a:lnTo>
                  <a:pt x="26" y="78"/>
                </a:lnTo>
                <a:lnTo>
                  <a:pt x="29" y="78"/>
                </a:lnTo>
                <a:lnTo>
                  <a:pt x="32" y="78"/>
                </a:lnTo>
                <a:lnTo>
                  <a:pt x="36" y="78"/>
                </a:lnTo>
                <a:lnTo>
                  <a:pt x="39" y="77"/>
                </a:lnTo>
                <a:lnTo>
                  <a:pt x="42" y="77"/>
                </a:lnTo>
                <a:lnTo>
                  <a:pt x="45" y="76"/>
                </a:lnTo>
                <a:lnTo>
                  <a:pt x="48" y="76"/>
                </a:lnTo>
                <a:lnTo>
                  <a:pt x="51" y="75"/>
                </a:lnTo>
                <a:lnTo>
                  <a:pt x="54" y="74"/>
                </a:lnTo>
                <a:lnTo>
                  <a:pt x="57" y="73"/>
                </a:lnTo>
                <a:lnTo>
                  <a:pt x="60" y="72"/>
                </a:lnTo>
                <a:lnTo>
                  <a:pt x="62" y="71"/>
                </a:lnTo>
                <a:lnTo>
                  <a:pt x="68" y="69"/>
                </a:lnTo>
                <a:lnTo>
                  <a:pt x="72" y="67"/>
                </a:lnTo>
                <a:lnTo>
                  <a:pt x="67" y="56"/>
                </a:lnTo>
                <a:lnTo>
                  <a:pt x="66" y="56"/>
                </a:lnTo>
                <a:lnTo>
                  <a:pt x="63" y="57"/>
                </a:lnTo>
                <a:lnTo>
                  <a:pt x="60" y="58"/>
                </a:lnTo>
                <a:lnTo>
                  <a:pt x="57" y="60"/>
                </a:lnTo>
                <a:lnTo>
                  <a:pt x="55" y="60"/>
                </a:lnTo>
                <a:lnTo>
                  <a:pt x="53" y="61"/>
                </a:lnTo>
                <a:lnTo>
                  <a:pt x="51" y="61"/>
                </a:lnTo>
                <a:lnTo>
                  <a:pt x="49" y="62"/>
                </a:lnTo>
                <a:lnTo>
                  <a:pt x="48" y="62"/>
                </a:lnTo>
                <a:lnTo>
                  <a:pt x="46" y="63"/>
                </a:lnTo>
                <a:lnTo>
                  <a:pt x="44" y="63"/>
                </a:lnTo>
                <a:lnTo>
                  <a:pt x="43" y="63"/>
                </a:lnTo>
                <a:lnTo>
                  <a:pt x="42" y="63"/>
                </a:lnTo>
                <a:lnTo>
                  <a:pt x="41" y="63"/>
                </a:lnTo>
                <a:lnTo>
                  <a:pt x="40" y="63"/>
                </a:lnTo>
                <a:lnTo>
                  <a:pt x="39" y="62"/>
                </a:lnTo>
                <a:lnTo>
                  <a:pt x="38" y="62"/>
                </a:lnTo>
                <a:lnTo>
                  <a:pt x="37" y="61"/>
                </a:lnTo>
                <a:lnTo>
                  <a:pt x="36" y="60"/>
                </a:lnTo>
                <a:lnTo>
                  <a:pt x="36" y="59"/>
                </a:lnTo>
                <a:lnTo>
                  <a:pt x="36" y="58"/>
                </a:lnTo>
                <a:lnTo>
                  <a:pt x="36" y="57"/>
                </a:lnTo>
                <a:lnTo>
                  <a:pt x="36" y="56"/>
                </a:lnTo>
                <a:lnTo>
                  <a:pt x="36" y="55"/>
                </a:lnTo>
                <a:lnTo>
                  <a:pt x="36" y="54"/>
                </a:lnTo>
                <a:lnTo>
                  <a:pt x="36" y="53"/>
                </a:lnTo>
                <a:lnTo>
                  <a:pt x="37" y="52"/>
                </a:lnTo>
                <a:lnTo>
                  <a:pt x="38" y="50"/>
                </a:lnTo>
                <a:lnTo>
                  <a:pt x="38" y="49"/>
                </a:lnTo>
                <a:lnTo>
                  <a:pt x="39" y="47"/>
                </a:lnTo>
                <a:lnTo>
                  <a:pt x="40" y="46"/>
                </a:lnTo>
                <a:lnTo>
                  <a:pt x="41" y="44"/>
                </a:lnTo>
                <a:lnTo>
                  <a:pt x="42" y="43"/>
                </a:lnTo>
                <a:lnTo>
                  <a:pt x="43" y="41"/>
                </a:lnTo>
                <a:lnTo>
                  <a:pt x="44" y="39"/>
                </a:lnTo>
                <a:lnTo>
                  <a:pt x="45" y="38"/>
                </a:lnTo>
                <a:lnTo>
                  <a:pt x="47" y="36"/>
                </a:lnTo>
                <a:lnTo>
                  <a:pt x="48" y="35"/>
                </a:lnTo>
                <a:lnTo>
                  <a:pt x="50" y="33"/>
                </a:lnTo>
                <a:lnTo>
                  <a:pt x="51" y="32"/>
                </a:lnTo>
                <a:lnTo>
                  <a:pt x="53" y="30"/>
                </a:lnTo>
                <a:lnTo>
                  <a:pt x="54" y="29"/>
                </a:lnTo>
                <a:lnTo>
                  <a:pt x="56" y="27"/>
                </a:lnTo>
                <a:lnTo>
                  <a:pt x="58" y="26"/>
                </a:lnTo>
                <a:lnTo>
                  <a:pt x="60" y="24"/>
                </a:lnTo>
                <a:lnTo>
                  <a:pt x="61" y="23"/>
                </a:lnTo>
                <a:lnTo>
                  <a:pt x="63" y="22"/>
                </a:lnTo>
                <a:lnTo>
                  <a:pt x="65" y="21"/>
                </a:lnTo>
                <a:lnTo>
                  <a:pt x="67" y="20"/>
                </a:lnTo>
                <a:lnTo>
                  <a:pt x="69" y="19"/>
                </a:lnTo>
                <a:lnTo>
                  <a:pt x="71" y="18"/>
                </a:lnTo>
                <a:lnTo>
                  <a:pt x="73" y="17"/>
                </a:lnTo>
                <a:lnTo>
                  <a:pt x="75" y="17"/>
                </a:lnTo>
                <a:lnTo>
                  <a:pt x="77" y="16"/>
                </a:lnTo>
                <a:lnTo>
                  <a:pt x="79" y="16"/>
                </a:lnTo>
                <a:lnTo>
                  <a:pt x="81" y="15"/>
                </a:lnTo>
                <a:lnTo>
                  <a:pt x="83" y="15"/>
                </a:lnTo>
                <a:lnTo>
                  <a:pt x="85" y="15"/>
                </a:lnTo>
                <a:lnTo>
                  <a:pt x="86" y="15"/>
                </a:lnTo>
                <a:lnTo>
                  <a:pt x="88" y="15"/>
                </a:lnTo>
                <a:lnTo>
                  <a:pt x="89" y="15"/>
                </a:lnTo>
                <a:lnTo>
                  <a:pt x="91" y="16"/>
                </a:lnTo>
                <a:lnTo>
                  <a:pt x="92" y="16"/>
                </a:lnTo>
                <a:lnTo>
                  <a:pt x="93" y="16"/>
                </a:lnTo>
                <a:lnTo>
                  <a:pt x="94" y="16"/>
                </a:lnTo>
                <a:lnTo>
                  <a:pt x="95" y="17"/>
                </a:lnTo>
                <a:lnTo>
                  <a:pt x="107" y="4"/>
                </a:lnTo>
                <a:close/>
              </a:path>
            </a:pathLst>
          </a:custGeom>
          <a:solidFill>
            <a:srgbClr val="00593C"/>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303181" name="Freeform 12">
            <a:extLst>
              <a:ext uri="{FF2B5EF4-FFF2-40B4-BE49-F238E27FC236}">
                <a16:creationId xmlns:a16="http://schemas.microsoft.com/office/drawing/2014/main" id="{97D603F7-5941-4CC7-ACBF-501D2E6C0F1D}"/>
              </a:ext>
            </a:extLst>
          </xdr:cNvPr>
          <xdr:cNvSpPr>
            <a:spLocks noEditPoints="1"/>
          </xdr:cNvSpPr>
        </xdr:nvSpPr>
        <xdr:spPr bwMode="auto">
          <a:xfrm>
            <a:off x="1310" y="1768"/>
            <a:ext cx="87" cy="76"/>
          </a:xfrm>
          <a:custGeom>
            <a:avLst/>
            <a:gdLst>
              <a:gd name="T0" fmla="*/ 0 w 106"/>
              <a:gd name="T1" fmla="*/ 19 h 78"/>
              <a:gd name="T2" fmla="*/ 0 w 106"/>
              <a:gd name="T3" fmla="*/ 19 h 78"/>
              <a:gd name="T4" fmla="*/ 2 w 106"/>
              <a:gd name="T5" fmla="*/ 19 h 78"/>
              <a:gd name="T6" fmla="*/ 2 w 106"/>
              <a:gd name="T7" fmla="*/ 19 h 78"/>
              <a:gd name="T8" fmla="*/ 2 w 106"/>
              <a:gd name="T9" fmla="*/ 19 h 78"/>
              <a:gd name="T10" fmla="*/ 2 w 106"/>
              <a:gd name="T11" fmla="*/ 19 h 78"/>
              <a:gd name="T12" fmla="*/ 2 w 106"/>
              <a:gd name="T13" fmla="*/ 19 h 78"/>
              <a:gd name="T14" fmla="*/ 2 w 106"/>
              <a:gd name="T15" fmla="*/ 19 h 78"/>
              <a:gd name="T16" fmla="*/ 2 w 106"/>
              <a:gd name="T17" fmla="*/ 19 h 78"/>
              <a:gd name="T18" fmla="*/ 2 w 106"/>
              <a:gd name="T19" fmla="*/ 19 h 78"/>
              <a:gd name="T20" fmla="*/ 2 w 106"/>
              <a:gd name="T21" fmla="*/ 19 h 78"/>
              <a:gd name="T22" fmla="*/ 2 w 106"/>
              <a:gd name="T23" fmla="*/ 19 h 78"/>
              <a:gd name="T24" fmla="*/ 2 w 106"/>
              <a:gd name="T25" fmla="*/ 19 h 78"/>
              <a:gd name="T26" fmla="*/ 2 w 106"/>
              <a:gd name="T27" fmla="*/ 19 h 78"/>
              <a:gd name="T28" fmla="*/ 2 w 106"/>
              <a:gd name="T29" fmla="*/ 19 h 78"/>
              <a:gd name="T30" fmla="*/ 2 w 106"/>
              <a:gd name="T31" fmla="*/ 19 h 78"/>
              <a:gd name="T32" fmla="*/ 2 w 106"/>
              <a:gd name="T33" fmla="*/ 19 h 78"/>
              <a:gd name="T34" fmla="*/ 2 w 106"/>
              <a:gd name="T35" fmla="*/ 18 h 78"/>
              <a:gd name="T36" fmla="*/ 2 w 106"/>
              <a:gd name="T37" fmla="*/ 13 h 78"/>
              <a:gd name="T38" fmla="*/ 2 w 106"/>
              <a:gd name="T39" fmla="*/ 8 h 78"/>
              <a:gd name="T40" fmla="*/ 2 w 106"/>
              <a:gd name="T41" fmla="*/ 5 h 78"/>
              <a:gd name="T42" fmla="*/ 2 w 106"/>
              <a:gd name="T43" fmla="*/ 3 h 78"/>
              <a:gd name="T44" fmla="*/ 2 w 106"/>
              <a:gd name="T45" fmla="*/ 1 h 78"/>
              <a:gd name="T46" fmla="*/ 2 w 106"/>
              <a:gd name="T47" fmla="*/ 0 h 78"/>
              <a:gd name="T48" fmla="*/ 2 w 106"/>
              <a:gd name="T49" fmla="*/ 1 h 78"/>
              <a:gd name="T50" fmla="*/ 2 w 106"/>
              <a:gd name="T51" fmla="*/ 4 h 78"/>
              <a:gd name="T52" fmla="*/ 2 w 106"/>
              <a:gd name="T53" fmla="*/ 9 h 78"/>
              <a:gd name="T54" fmla="*/ 2 w 106"/>
              <a:gd name="T55" fmla="*/ 15 h 78"/>
              <a:gd name="T56" fmla="*/ 2 w 106"/>
              <a:gd name="T57" fmla="*/ 19 h 78"/>
              <a:gd name="T58" fmla="*/ 2 w 106"/>
              <a:gd name="T59" fmla="*/ 19 h 78"/>
              <a:gd name="T60" fmla="*/ 2 w 106"/>
              <a:gd name="T61" fmla="*/ 19 h 78"/>
              <a:gd name="T62" fmla="*/ 2 w 106"/>
              <a:gd name="T63" fmla="*/ 19 h 78"/>
              <a:gd name="T64" fmla="*/ 2 w 106"/>
              <a:gd name="T65" fmla="*/ 19 h 78"/>
              <a:gd name="T66" fmla="*/ 2 w 106"/>
              <a:gd name="T67" fmla="*/ 19 h 78"/>
              <a:gd name="T68" fmla="*/ 2 w 106"/>
              <a:gd name="T69" fmla="*/ 19 h 78"/>
              <a:gd name="T70" fmla="*/ 2 w 106"/>
              <a:gd name="T71" fmla="*/ 19 h 78"/>
              <a:gd name="T72" fmla="*/ 2 w 106"/>
              <a:gd name="T73" fmla="*/ 18 h 78"/>
              <a:gd name="T74" fmla="*/ 2 w 106"/>
              <a:gd name="T75" fmla="*/ 14 h 78"/>
              <a:gd name="T76" fmla="*/ 2 w 106"/>
              <a:gd name="T77" fmla="*/ 13 h 78"/>
              <a:gd name="T78" fmla="*/ 2 w 106"/>
              <a:gd name="T79" fmla="*/ 14 h 78"/>
              <a:gd name="T80" fmla="*/ 2 w 106"/>
              <a:gd name="T81" fmla="*/ 17 h 78"/>
              <a:gd name="T82" fmla="*/ 2 w 106"/>
              <a:gd name="T83" fmla="*/ 19 h 78"/>
              <a:gd name="T84" fmla="*/ 2 w 106"/>
              <a:gd name="T85" fmla="*/ 19 h 78"/>
              <a:gd name="T86" fmla="*/ 2 w 106"/>
              <a:gd name="T87" fmla="*/ 19 h 78"/>
              <a:gd name="T88" fmla="*/ 2 w 106"/>
              <a:gd name="T89" fmla="*/ 19 h 78"/>
              <a:gd name="T90" fmla="*/ 2 w 106"/>
              <a:gd name="T91" fmla="*/ 19 h 78"/>
              <a:gd name="T92" fmla="*/ 2 w 106"/>
              <a:gd name="T93" fmla="*/ 19 h 78"/>
              <a:gd name="T94" fmla="*/ 2 w 106"/>
              <a:gd name="T95" fmla="*/ 19 h 78"/>
              <a:gd name="T96" fmla="*/ 2 w 106"/>
              <a:gd name="T97" fmla="*/ 19 h 78"/>
              <a:gd name="T98" fmla="*/ 2 w 106"/>
              <a:gd name="T99" fmla="*/ 19 h 78"/>
              <a:gd name="T100" fmla="*/ 2 w 106"/>
              <a:gd name="T101" fmla="*/ 19 h 78"/>
              <a:gd name="T102" fmla="*/ 2 w 106"/>
              <a:gd name="T103" fmla="*/ 19 h 78"/>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w 106"/>
              <a:gd name="T157" fmla="*/ 0 h 78"/>
              <a:gd name="T158" fmla="*/ 106 w 106"/>
              <a:gd name="T159" fmla="*/ 78 h 78"/>
            </a:gdLst>
            <a:ahLst/>
            <a:cxnLst>
              <a:cxn ang="T104">
                <a:pos x="T0" y="T1"/>
              </a:cxn>
              <a:cxn ang="T105">
                <a:pos x="T2" y="T3"/>
              </a:cxn>
              <a:cxn ang="T106">
                <a:pos x="T4" y="T5"/>
              </a:cxn>
              <a:cxn ang="T107">
                <a:pos x="T6" y="T7"/>
              </a:cxn>
              <a:cxn ang="T108">
                <a:pos x="T8" y="T9"/>
              </a:cxn>
              <a:cxn ang="T109">
                <a:pos x="T10" y="T11"/>
              </a:cxn>
              <a:cxn ang="T110">
                <a:pos x="T12" y="T13"/>
              </a:cxn>
              <a:cxn ang="T111">
                <a:pos x="T14" y="T15"/>
              </a:cxn>
              <a:cxn ang="T112">
                <a:pos x="T16" y="T17"/>
              </a:cxn>
              <a:cxn ang="T113">
                <a:pos x="T18" y="T19"/>
              </a:cxn>
              <a:cxn ang="T114">
                <a:pos x="T20" y="T21"/>
              </a:cxn>
              <a:cxn ang="T115">
                <a:pos x="T22" y="T23"/>
              </a:cxn>
              <a:cxn ang="T116">
                <a:pos x="T24" y="T25"/>
              </a:cxn>
              <a:cxn ang="T117">
                <a:pos x="T26" y="T27"/>
              </a:cxn>
              <a:cxn ang="T118">
                <a:pos x="T28" y="T29"/>
              </a:cxn>
              <a:cxn ang="T119">
                <a:pos x="T30" y="T31"/>
              </a:cxn>
              <a:cxn ang="T120">
                <a:pos x="T32" y="T33"/>
              </a:cxn>
              <a:cxn ang="T121">
                <a:pos x="T34" y="T35"/>
              </a:cxn>
              <a:cxn ang="T122">
                <a:pos x="T36" y="T37"/>
              </a:cxn>
              <a:cxn ang="T123">
                <a:pos x="T38" y="T39"/>
              </a:cxn>
              <a:cxn ang="T124">
                <a:pos x="T40" y="T41"/>
              </a:cxn>
              <a:cxn ang="T125">
                <a:pos x="T42" y="T43"/>
              </a:cxn>
              <a:cxn ang="T126">
                <a:pos x="T44" y="T45"/>
              </a:cxn>
              <a:cxn ang="T127">
                <a:pos x="T46" y="T47"/>
              </a:cxn>
              <a:cxn ang="T128">
                <a:pos x="T48" y="T49"/>
              </a:cxn>
              <a:cxn ang="T129">
                <a:pos x="T50" y="T51"/>
              </a:cxn>
              <a:cxn ang="T130">
                <a:pos x="T52" y="T53"/>
              </a:cxn>
              <a:cxn ang="T131">
                <a:pos x="T54" y="T55"/>
              </a:cxn>
              <a:cxn ang="T132">
                <a:pos x="T56" y="T57"/>
              </a:cxn>
              <a:cxn ang="T133">
                <a:pos x="T58" y="T59"/>
              </a:cxn>
              <a:cxn ang="T134">
                <a:pos x="T60" y="T61"/>
              </a:cxn>
              <a:cxn ang="T135">
                <a:pos x="T62" y="T63"/>
              </a:cxn>
              <a:cxn ang="T136">
                <a:pos x="T64" y="T65"/>
              </a:cxn>
              <a:cxn ang="T137">
                <a:pos x="T66" y="T67"/>
              </a:cxn>
              <a:cxn ang="T138">
                <a:pos x="T68" y="T69"/>
              </a:cxn>
              <a:cxn ang="T139">
                <a:pos x="T70" y="T71"/>
              </a:cxn>
              <a:cxn ang="T140">
                <a:pos x="T72" y="T73"/>
              </a:cxn>
              <a:cxn ang="T141">
                <a:pos x="T74" y="T75"/>
              </a:cxn>
              <a:cxn ang="T142">
                <a:pos x="T76" y="T77"/>
              </a:cxn>
              <a:cxn ang="T143">
                <a:pos x="T78" y="T79"/>
              </a:cxn>
              <a:cxn ang="T144">
                <a:pos x="T80" y="T81"/>
              </a:cxn>
              <a:cxn ang="T145">
                <a:pos x="T82" y="T83"/>
              </a:cxn>
              <a:cxn ang="T146">
                <a:pos x="T84" y="T85"/>
              </a:cxn>
              <a:cxn ang="T147">
                <a:pos x="T86" y="T87"/>
              </a:cxn>
              <a:cxn ang="T148">
                <a:pos x="T88" y="T89"/>
              </a:cxn>
              <a:cxn ang="T149">
                <a:pos x="T90" y="T91"/>
              </a:cxn>
              <a:cxn ang="T150">
                <a:pos x="T92" y="T93"/>
              </a:cxn>
              <a:cxn ang="T151">
                <a:pos x="T94" y="T95"/>
              </a:cxn>
              <a:cxn ang="T152">
                <a:pos x="T96" y="T97"/>
              </a:cxn>
              <a:cxn ang="T153">
                <a:pos x="T98" y="T99"/>
              </a:cxn>
              <a:cxn ang="T154">
                <a:pos x="T100" y="T101"/>
              </a:cxn>
              <a:cxn ang="T155">
                <a:pos x="T102" y="T103"/>
              </a:cxn>
            </a:cxnLst>
            <a:rect l="T156" t="T157" r="T158" b="T159"/>
            <a:pathLst>
              <a:path w="106" h="78">
                <a:moveTo>
                  <a:pt x="2" y="49"/>
                </a:moveTo>
                <a:lnTo>
                  <a:pt x="1" y="51"/>
                </a:lnTo>
                <a:lnTo>
                  <a:pt x="1" y="53"/>
                </a:lnTo>
                <a:lnTo>
                  <a:pt x="0" y="55"/>
                </a:lnTo>
                <a:lnTo>
                  <a:pt x="0" y="56"/>
                </a:lnTo>
                <a:lnTo>
                  <a:pt x="0" y="58"/>
                </a:lnTo>
                <a:lnTo>
                  <a:pt x="0" y="59"/>
                </a:lnTo>
                <a:lnTo>
                  <a:pt x="0" y="61"/>
                </a:lnTo>
                <a:lnTo>
                  <a:pt x="0" y="62"/>
                </a:lnTo>
                <a:lnTo>
                  <a:pt x="1" y="63"/>
                </a:lnTo>
                <a:lnTo>
                  <a:pt x="1" y="65"/>
                </a:lnTo>
                <a:lnTo>
                  <a:pt x="2" y="66"/>
                </a:lnTo>
                <a:lnTo>
                  <a:pt x="2" y="67"/>
                </a:lnTo>
                <a:lnTo>
                  <a:pt x="3" y="68"/>
                </a:lnTo>
                <a:lnTo>
                  <a:pt x="4" y="69"/>
                </a:lnTo>
                <a:lnTo>
                  <a:pt x="5" y="70"/>
                </a:lnTo>
                <a:lnTo>
                  <a:pt x="6" y="71"/>
                </a:lnTo>
                <a:lnTo>
                  <a:pt x="7" y="72"/>
                </a:lnTo>
                <a:lnTo>
                  <a:pt x="8" y="73"/>
                </a:lnTo>
                <a:lnTo>
                  <a:pt x="9" y="74"/>
                </a:lnTo>
                <a:lnTo>
                  <a:pt x="10" y="74"/>
                </a:lnTo>
                <a:lnTo>
                  <a:pt x="11" y="75"/>
                </a:lnTo>
                <a:lnTo>
                  <a:pt x="13" y="76"/>
                </a:lnTo>
                <a:lnTo>
                  <a:pt x="14" y="76"/>
                </a:lnTo>
                <a:lnTo>
                  <a:pt x="16" y="77"/>
                </a:lnTo>
                <a:lnTo>
                  <a:pt x="17" y="77"/>
                </a:lnTo>
                <a:lnTo>
                  <a:pt x="19" y="77"/>
                </a:lnTo>
                <a:lnTo>
                  <a:pt x="20" y="78"/>
                </a:lnTo>
                <a:lnTo>
                  <a:pt x="22" y="78"/>
                </a:lnTo>
                <a:lnTo>
                  <a:pt x="24" y="78"/>
                </a:lnTo>
                <a:lnTo>
                  <a:pt x="26" y="78"/>
                </a:lnTo>
                <a:lnTo>
                  <a:pt x="28" y="78"/>
                </a:lnTo>
                <a:lnTo>
                  <a:pt x="29" y="78"/>
                </a:lnTo>
                <a:lnTo>
                  <a:pt x="33" y="78"/>
                </a:lnTo>
                <a:lnTo>
                  <a:pt x="37" y="78"/>
                </a:lnTo>
                <a:lnTo>
                  <a:pt x="40" y="78"/>
                </a:lnTo>
                <a:lnTo>
                  <a:pt x="44" y="77"/>
                </a:lnTo>
                <a:lnTo>
                  <a:pt x="47" y="76"/>
                </a:lnTo>
                <a:lnTo>
                  <a:pt x="51" y="75"/>
                </a:lnTo>
                <a:lnTo>
                  <a:pt x="54" y="74"/>
                </a:lnTo>
                <a:lnTo>
                  <a:pt x="57" y="73"/>
                </a:lnTo>
                <a:lnTo>
                  <a:pt x="60" y="72"/>
                </a:lnTo>
                <a:lnTo>
                  <a:pt x="63" y="71"/>
                </a:lnTo>
                <a:lnTo>
                  <a:pt x="66" y="69"/>
                </a:lnTo>
                <a:lnTo>
                  <a:pt x="69" y="68"/>
                </a:lnTo>
                <a:lnTo>
                  <a:pt x="72" y="66"/>
                </a:lnTo>
                <a:lnTo>
                  <a:pt x="74" y="64"/>
                </a:lnTo>
                <a:lnTo>
                  <a:pt x="77" y="63"/>
                </a:lnTo>
                <a:lnTo>
                  <a:pt x="79" y="61"/>
                </a:lnTo>
                <a:lnTo>
                  <a:pt x="82" y="59"/>
                </a:lnTo>
                <a:lnTo>
                  <a:pt x="84" y="57"/>
                </a:lnTo>
                <a:lnTo>
                  <a:pt x="86" y="55"/>
                </a:lnTo>
                <a:lnTo>
                  <a:pt x="88" y="53"/>
                </a:lnTo>
                <a:lnTo>
                  <a:pt x="90" y="51"/>
                </a:lnTo>
                <a:lnTo>
                  <a:pt x="92" y="49"/>
                </a:lnTo>
                <a:lnTo>
                  <a:pt x="93" y="47"/>
                </a:lnTo>
                <a:lnTo>
                  <a:pt x="95" y="45"/>
                </a:lnTo>
                <a:lnTo>
                  <a:pt x="97" y="42"/>
                </a:lnTo>
                <a:lnTo>
                  <a:pt x="98" y="40"/>
                </a:lnTo>
                <a:lnTo>
                  <a:pt x="99" y="38"/>
                </a:lnTo>
                <a:lnTo>
                  <a:pt x="100" y="36"/>
                </a:lnTo>
                <a:lnTo>
                  <a:pt x="102" y="34"/>
                </a:lnTo>
                <a:lnTo>
                  <a:pt x="102" y="32"/>
                </a:lnTo>
                <a:lnTo>
                  <a:pt x="103" y="30"/>
                </a:lnTo>
                <a:lnTo>
                  <a:pt x="104" y="28"/>
                </a:lnTo>
                <a:lnTo>
                  <a:pt x="104" y="27"/>
                </a:lnTo>
                <a:lnTo>
                  <a:pt x="105" y="25"/>
                </a:lnTo>
                <a:lnTo>
                  <a:pt x="105" y="24"/>
                </a:lnTo>
                <a:lnTo>
                  <a:pt x="105" y="22"/>
                </a:lnTo>
                <a:lnTo>
                  <a:pt x="106" y="20"/>
                </a:lnTo>
                <a:lnTo>
                  <a:pt x="106" y="19"/>
                </a:lnTo>
                <a:lnTo>
                  <a:pt x="105" y="18"/>
                </a:lnTo>
                <a:lnTo>
                  <a:pt x="105" y="16"/>
                </a:lnTo>
                <a:lnTo>
                  <a:pt x="105" y="15"/>
                </a:lnTo>
                <a:lnTo>
                  <a:pt x="105" y="14"/>
                </a:lnTo>
                <a:lnTo>
                  <a:pt x="104" y="13"/>
                </a:lnTo>
                <a:lnTo>
                  <a:pt x="104" y="12"/>
                </a:lnTo>
                <a:lnTo>
                  <a:pt x="103" y="10"/>
                </a:lnTo>
                <a:lnTo>
                  <a:pt x="102" y="9"/>
                </a:lnTo>
                <a:lnTo>
                  <a:pt x="101" y="8"/>
                </a:lnTo>
                <a:lnTo>
                  <a:pt x="100" y="8"/>
                </a:lnTo>
                <a:lnTo>
                  <a:pt x="99" y="7"/>
                </a:lnTo>
                <a:lnTo>
                  <a:pt x="98" y="6"/>
                </a:lnTo>
                <a:lnTo>
                  <a:pt x="97" y="5"/>
                </a:lnTo>
                <a:lnTo>
                  <a:pt x="96" y="4"/>
                </a:lnTo>
                <a:lnTo>
                  <a:pt x="95" y="4"/>
                </a:lnTo>
                <a:lnTo>
                  <a:pt x="93" y="3"/>
                </a:lnTo>
                <a:lnTo>
                  <a:pt x="92" y="3"/>
                </a:lnTo>
                <a:lnTo>
                  <a:pt x="90" y="2"/>
                </a:lnTo>
                <a:lnTo>
                  <a:pt x="89" y="2"/>
                </a:lnTo>
                <a:lnTo>
                  <a:pt x="87" y="1"/>
                </a:lnTo>
                <a:lnTo>
                  <a:pt x="85" y="1"/>
                </a:lnTo>
                <a:lnTo>
                  <a:pt x="84" y="1"/>
                </a:lnTo>
                <a:lnTo>
                  <a:pt x="82" y="1"/>
                </a:lnTo>
                <a:lnTo>
                  <a:pt x="80" y="1"/>
                </a:lnTo>
                <a:lnTo>
                  <a:pt x="78" y="0"/>
                </a:lnTo>
                <a:lnTo>
                  <a:pt x="76" y="0"/>
                </a:lnTo>
                <a:lnTo>
                  <a:pt x="73" y="1"/>
                </a:lnTo>
                <a:lnTo>
                  <a:pt x="69" y="1"/>
                </a:lnTo>
                <a:lnTo>
                  <a:pt x="66" y="1"/>
                </a:lnTo>
                <a:lnTo>
                  <a:pt x="62" y="2"/>
                </a:lnTo>
                <a:lnTo>
                  <a:pt x="59" y="2"/>
                </a:lnTo>
                <a:lnTo>
                  <a:pt x="56" y="3"/>
                </a:lnTo>
                <a:lnTo>
                  <a:pt x="53" y="4"/>
                </a:lnTo>
                <a:lnTo>
                  <a:pt x="49" y="5"/>
                </a:lnTo>
                <a:lnTo>
                  <a:pt x="46" y="6"/>
                </a:lnTo>
                <a:lnTo>
                  <a:pt x="43" y="8"/>
                </a:lnTo>
                <a:lnTo>
                  <a:pt x="41" y="9"/>
                </a:lnTo>
                <a:lnTo>
                  <a:pt x="38" y="10"/>
                </a:lnTo>
                <a:lnTo>
                  <a:pt x="35" y="12"/>
                </a:lnTo>
                <a:lnTo>
                  <a:pt x="32" y="14"/>
                </a:lnTo>
                <a:lnTo>
                  <a:pt x="30" y="15"/>
                </a:lnTo>
                <a:lnTo>
                  <a:pt x="27" y="17"/>
                </a:lnTo>
                <a:lnTo>
                  <a:pt x="25" y="19"/>
                </a:lnTo>
                <a:lnTo>
                  <a:pt x="23" y="21"/>
                </a:lnTo>
                <a:lnTo>
                  <a:pt x="20" y="23"/>
                </a:lnTo>
                <a:lnTo>
                  <a:pt x="18" y="25"/>
                </a:lnTo>
                <a:lnTo>
                  <a:pt x="16" y="27"/>
                </a:lnTo>
                <a:lnTo>
                  <a:pt x="14" y="29"/>
                </a:lnTo>
                <a:lnTo>
                  <a:pt x="13" y="31"/>
                </a:lnTo>
                <a:lnTo>
                  <a:pt x="11" y="33"/>
                </a:lnTo>
                <a:lnTo>
                  <a:pt x="9" y="35"/>
                </a:lnTo>
                <a:lnTo>
                  <a:pt x="8" y="37"/>
                </a:lnTo>
                <a:lnTo>
                  <a:pt x="7" y="39"/>
                </a:lnTo>
                <a:lnTo>
                  <a:pt x="5" y="41"/>
                </a:lnTo>
                <a:lnTo>
                  <a:pt x="4" y="43"/>
                </a:lnTo>
                <a:lnTo>
                  <a:pt x="3" y="45"/>
                </a:lnTo>
                <a:lnTo>
                  <a:pt x="3" y="47"/>
                </a:lnTo>
                <a:lnTo>
                  <a:pt x="2" y="49"/>
                </a:lnTo>
                <a:close/>
                <a:moveTo>
                  <a:pt x="33" y="58"/>
                </a:moveTo>
                <a:lnTo>
                  <a:pt x="33" y="56"/>
                </a:lnTo>
                <a:lnTo>
                  <a:pt x="35" y="53"/>
                </a:lnTo>
                <a:lnTo>
                  <a:pt x="36" y="50"/>
                </a:lnTo>
                <a:lnTo>
                  <a:pt x="38" y="46"/>
                </a:lnTo>
                <a:lnTo>
                  <a:pt x="40" y="43"/>
                </a:lnTo>
                <a:lnTo>
                  <a:pt x="42" y="39"/>
                </a:lnTo>
                <a:lnTo>
                  <a:pt x="44" y="35"/>
                </a:lnTo>
                <a:lnTo>
                  <a:pt x="47" y="32"/>
                </a:lnTo>
                <a:lnTo>
                  <a:pt x="48" y="30"/>
                </a:lnTo>
                <a:lnTo>
                  <a:pt x="50" y="28"/>
                </a:lnTo>
                <a:lnTo>
                  <a:pt x="51" y="26"/>
                </a:lnTo>
                <a:lnTo>
                  <a:pt x="52" y="25"/>
                </a:lnTo>
                <a:lnTo>
                  <a:pt x="54" y="23"/>
                </a:lnTo>
                <a:lnTo>
                  <a:pt x="55" y="21"/>
                </a:lnTo>
                <a:lnTo>
                  <a:pt x="56" y="20"/>
                </a:lnTo>
                <a:lnTo>
                  <a:pt x="58" y="19"/>
                </a:lnTo>
                <a:lnTo>
                  <a:pt x="59" y="18"/>
                </a:lnTo>
                <a:lnTo>
                  <a:pt x="61" y="16"/>
                </a:lnTo>
                <a:lnTo>
                  <a:pt x="62" y="16"/>
                </a:lnTo>
                <a:lnTo>
                  <a:pt x="63" y="15"/>
                </a:lnTo>
                <a:lnTo>
                  <a:pt x="65" y="14"/>
                </a:lnTo>
                <a:lnTo>
                  <a:pt x="66" y="14"/>
                </a:lnTo>
                <a:lnTo>
                  <a:pt x="67" y="13"/>
                </a:lnTo>
                <a:lnTo>
                  <a:pt x="69" y="13"/>
                </a:lnTo>
                <a:lnTo>
                  <a:pt x="70" y="13"/>
                </a:lnTo>
                <a:lnTo>
                  <a:pt x="71" y="14"/>
                </a:lnTo>
                <a:lnTo>
                  <a:pt x="72" y="14"/>
                </a:lnTo>
                <a:lnTo>
                  <a:pt x="73" y="15"/>
                </a:lnTo>
                <a:lnTo>
                  <a:pt x="73" y="16"/>
                </a:lnTo>
                <a:lnTo>
                  <a:pt x="73" y="17"/>
                </a:lnTo>
                <a:lnTo>
                  <a:pt x="73" y="18"/>
                </a:lnTo>
                <a:lnTo>
                  <a:pt x="73" y="19"/>
                </a:lnTo>
                <a:lnTo>
                  <a:pt x="73" y="20"/>
                </a:lnTo>
                <a:lnTo>
                  <a:pt x="72" y="21"/>
                </a:lnTo>
                <a:lnTo>
                  <a:pt x="72" y="23"/>
                </a:lnTo>
                <a:lnTo>
                  <a:pt x="71" y="25"/>
                </a:lnTo>
                <a:lnTo>
                  <a:pt x="69" y="28"/>
                </a:lnTo>
                <a:lnTo>
                  <a:pt x="68" y="31"/>
                </a:lnTo>
                <a:lnTo>
                  <a:pt x="66" y="34"/>
                </a:lnTo>
                <a:lnTo>
                  <a:pt x="64" y="38"/>
                </a:lnTo>
                <a:lnTo>
                  <a:pt x="61" y="42"/>
                </a:lnTo>
                <a:lnTo>
                  <a:pt x="59" y="46"/>
                </a:lnTo>
                <a:lnTo>
                  <a:pt x="58" y="48"/>
                </a:lnTo>
                <a:lnTo>
                  <a:pt x="56" y="50"/>
                </a:lnTo>
                <a:lnTo>
                  <a:pt x="55" y="51"/>
                </a:lnTo>
                <a:lnTo>
                  <a:pt x="53" y="53"/>
                </a:lnTo>
                <a:lnTo>
                  <a:pt x="52" y="55"/>
                </a:lnTo>
                <a:lnTo>
                  <a:pt x="51" y="57"/>
                </a:lnTo>
                <a:lnTo>
                  <a:pt x="49" y="58"/>
                </a:lnTo>
                <a:lnTo>
                  <a:pt x="48" y="59"/>
                </a:lnTo>
                <a:lnTo>
                  <a:pt x="46" y="61"/>
                </a:lnTo>
                <a:lnTo>
                  <a:pt x="45" y="62"/>
                </a:lnTo>
                <a:lnTo>
                  <a:pt x="44" y="63"/>
                </a:lnTo>
                <a:lnTo>
                  <a:pt x="42" y="64"/>
                </a:lnTo>
                <a:lnTo>
                  <a:pt x="41" y="65"/>
                </a:lnTo>
                <a:lnTo>
                  <a:pt x="40" y="65"/>
                </a:lnTo>
                <a:lnTo>
                  <a:pt x="38" y="65"/>
                </a:lnTo>
                <a:lnTo>
                  <a:pt x="37" y="65"/>
                </a:lnTo>
                <a:lnTo>
                  <a:pt x="36" y="65"/>
                </a:lnTo>
                <a:lnTo>
                  <a:pt x="35" y="65"/>
                </a:lnTo>
                <a:lnTo>
                  <a:pt x="34" y="65"/>
                </a:lnTo>
                <a:lnTo>
                  <a:pt x="34" y="64"/>
                </a:lnTo>
                <a:lnTo>
                  <a:pt x="33" y="64"/>
                </a:lnTo>
                <a:lnTo>
                  <a:pt x="32" y="63"/>
                </a:lnTo>
                <a:lnTo>
                  <a:pt x="32" y="62"/>
                </a:lnTo>
                <a:lnTo>
                  <a:pt x="32" y="61"/>
                </a:lnTo>
                <a:lnTo>
                  <a:pt x="32" y="60"/>
                </a:lnTo>
                <a:lnTo>
                  <a:pt x="32" y="59"/>
                </a:lnTo>
                <a:lnTo>
                  <a:pt x="33" y="58"/>
                </a:lnTo>
                <a:close/>
              </a:path>
            </a:pathLst>
          </a:custGeom>
          <a:solidFill>
            <a:srgbClr val="00593C"/>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303182" name="Freeform 13">
            <a:extLst>
              <a:ext uri="{FF2B5EF4-FFF2-40B4-BE49-F238E27FC236}">
                <a16:creationId xmlns:a16="http://schemas.microsoft.com/office/drawing/2014/main" id="{4FB89BA3-0AA0-41E3-8A8F-5172440C4D9C}"/>
              </a:ext>
            </a:extLst>
          </xdr:cNvPr>
          <xdr:cNvSpPr>
            <a:spLocks/>
          </xdr:cNvSpPr>
        </xdr:nvSpPr>
        <xdr:spPr bwMode="auto">
          <a:xfrm>
            <a:off x="1388" y="1735"/>
            <a:ext cx="80" cy="108"/>
          </a:xfrm>
          <a:custGeom>
            <a:avLst/>
            <a:gdLst>
              <a:gd name="T0" fmla="*/ 2 w 99"/>
              <a:gd name="T1" fmla="*/ 0 h 110"/>
              <a:gd name="T2" fmla="*/ 0 w 99"/>
              <a:gd name="T3" fmla="*/ 27 h 110"/>
              <a:gd name="T4" fmla="*/ 2 w 99"/>
              <a:gd name="T5" fmla="*/ 27 h 110"/>
              <a:gd name="T6" fmla="*/ 2 w 99"/>
              <a:gd name="T7" fmla="*/ 0 h 110"/>
              <a:gd name="T8" fmla="*/ 2 w 99"/>
              <a:gd name="T9" fmla="*/ 0 h 110"/>
              <a:gd name="T10" fmla="*/ 0 60000 65536"/>
              <a:gd name="T11" fmla="*/ 0 60000 65536"/>
              <a:gd name="T12" fmla="*/ 0 60000 65536"/>
              <a:gd name="T13" fmla="*/ 0 60000 65536"/>
              <a:gd name="T14" fmla="*/ 0 60000 65536"/>
              <a:gd name="T15" fmla="*/ 0 w 99"/>
              <a:gd name="T16" fmla="*/ 0 h 110"/>
              <a:gd name="T17" fmla="*/ 99 w 99"/>
              <a:gd name="T18" fmla="*/ 110 h 110"/>
            </a:gdLst>
            <a:ahLst/>
            <a:cxnLst>
              <a:cxn ang="T10">
                <a:pos x="T0" y="T1"/>
              </a:cxn>
              <a:cxn ang="T11">
                <a:pos x="T2" y="T3"/>
              </a:cxn>
              <a:cxn ang="T12">
                <a:pos x="T4" y="T5"/>
              </a:cxn>
              <a:cxn ang="T13">
                <a:pos x="T6" y="T7"/>
              </a:cxn>
              <a:cxn ang="T14">
                <a:pos x="T8" y="T9"/>
              </a:cxn>
            </a:cxnLst>
            <a:rect l="T15" t="T16" r="T17" b="T18"/>
            <a:pathLst>
              <a:path w="99" h="110">
                <a:moveTo>
                  <a:pt x="66" y="0"/>
                </a:moveTo>
                <a:lnTo>
                  <a:pt x="0" y="110"/>
                </a:lnTo>
                <a:lnTo>
                  <a:pt x="33" y="110"/>
                </a:lnTo>
                <a:lnTo>
                  <a:pt x="99" y="0"/>
                </a:lnTo>
                <a:lnTo>
                  <a:pt x="66" y="0"/>
                </a:lnTo>
                <a:close/>
              </a:path>
            </a:pathLst>
          </a:custGeom>
          <a:solidFill>
            <a:srgbClr val="00593C"/>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303183" name="Freeform 14">
            <a:extLst>
              <a:ext uri="{FF2B5EF4-FFF2-40B4-BE49-F238E27FC236}">
                <a16:creationId xmlns:a16="http://schemas.microsoft.com/office/drawing/2014/main" id="{8BF38FEE-593F-4225-BBD4-9F4D47CE5020}"/>
              </a:ext>
            </a:extLst>
          </xdr:cNvPr>
          <xdr:cNvSpPr>
            <a:spLocks noEditPoints="1"/>
          </xdr:cNvSpPr>
        </xdr:nvSpPr>
        <xdr:spPr bwMode="auto">
          <a:xfrm>
            <a:off x="1440" y="1768"/>
            <a:ext cx="98" cy="76"/>
          </a:xfrm>
          <a:custGeom>
            <a:avLst/>
            <a:gdLst>
              <a:gd name="T0" fmla="*/ 2 w 121"/>
              <a:gd name="T1" fmla="*/ 4 h 78"/>
              <a:gd name="T2" fmla="*/ 2 w 121"/>
              <a:gd name="T3" fmla="*/ 2 h 78"/>
              <a:gd name="T4" fmla="*/ 2 w 121"/>
              <a:gd name="T5" fmla="*/ 1 h 78"/>
              <a:gd name="T6" fmla="*/ 2 w 121"/>
              <a:gd name="T7" fmla="*/ 0 h 78"/>
              <a:gd name="T8" fmla="*/ 2 w 121"/>
              <a:gd name="T9" fmla="*/ 1 h 78"/>
              <a:gd name="T10" fmla="*/ 2 w 121"/>
              <a:gd name="T11" fmla="*/ 3 h 78"/>
              <a:gd name="T12" fmla="*/ 2 w 121"/>
              <a:gd name="T13" fmla="*/ 6 h 78"/>
              <a:gd name="T14" fmla="*/ 2 w 121"/>
              <a:gd name="T15" fmla="*/ 11 h 78"/>
              <a:gd name="T16" fmla="*/ 2 w 121"/>
              <a:gd name="T17" fmla="*/ 17 h 78"/>
              <a:gd name="T18" fmla="*/ 2 w 121"/>
              <a:gd name="T19" fmla="*/ 19 h 78"/>
              <a:gd name="T20" fmla="*/ 2 w 121"/>
              <a:gd name="T21" fmla="*/ 19 h 78"/>
              <a:gd name="T22" fmla="*/ 2 w 121"/>
              <a:gd name="T23" fmla="*/ 19 h 78"/>
              <a:gd name="T24" fmla="*/ 2 w 121"/>
              <a:gd name="T25" fmla="*/ 19 h 78"/>
              <a:gd name="T26" fmla="*/ 2 w 121"/>
              <a:gd name="T27" fmla="*/ 19 h 78"/>
              <a:gd name="T28" fmla="*/ 1 w 121"/>
              <a:gd name="T29" fmla="*/ 19 h 78"/>
              <a:gd name="T30" fmla="*/ 0 w 121"/>
              <a:gd name="T31" fmla="*/ 19 h 78"/>
              <a:gd name="T32" fmla="*/ 0 w 121"/>
              <a:gd name="T33" fmla="*/ 19 h 78"/>
              <a:gd name="T34" fmla="*/ 1 w 121"/>
              <a:gd name="T35" fmla="*/ 19 h 78"/>
              <a:gd name="T36" fmla="*/ 2 w 121"/>
              <a:gd name="T37" fmla="*/ 19 h 78"/>
              <a:gd name="T38" fmla="*/ 2 w 121"/>
              <a:gd name="T39" fmla="*/ 19 h 78"/>
              <a:gd name="T40" fmla="*/ 2 w 121"/>
              <a:gd name="T41" fmla="*/ 19 h 78"/>
              <a:gd name="T42" fmla="*/ 2 w 121"/>
              <a:gd name="T43" fmla="*/ 19 h 78"/>
              <a:gd name="T44" fmla="*/ 2 w 121"/>
              <a:gd name="T45" fmla="*/ 19 h 78"/>
              <a:gd name="T46" fmla="*/ 2 w 121"/>
              <a:gd name="T47" fmla="*/ 19 h 78"/>
              <a:gd name="T48" fmla="*/ 2 w 121"/>
              <a:gd name="T49" fmla="*/ 19 h 78"/>
              <a:gd name="T50" fmla="*/ 2 w 121"/>
              <a:gd name="T51" fmla="*/ 19 h 78"/>
              <a:gd name="T52" fmla="*/ 2 w 121"/>
              <a:gd name="T53" fmla="*/ 19 h 78"/>
              <a:gd name="T54" fmla="*/ 2 w 121"/>
              <a:gd name="T55" fmla="*/ 19 h 78"/>
              <a:gd name="T56" fmla="*/ 2 w 121"/>
              <a:gd name="T57" fmla="*/ 19 h 78"/>
              <a:gd name="T58" fmla="*/ 2 w 121"/>
              <a:gd name="T59" fmla="*/ 19 h 78"/>
              <a:gd name="T60" fmla="*/ 2 w 121"/>
              <a:gd name="T61" fmla="*/ 19 h 78"/>
              <a:gd name="T62" fmla="*/ 2 w 121"/>
              <a:gd name="T63" fmla="*/ 19 h 78"/>
              <a:gd name="T64" fmla="*/ 2 w 121"/>
              <a:gd name="T65" fmla="*/ 19 h 78"/>
              <a:gd name="T66" fmla="*/ 2 w 121"/>
              <a:gd name="T67" fmla="*/ 19 h 78"/>
              <a:gd name="T68" fmla="*/ 2 w 121"/>
              <a:gd name="T69" fmla="*/ 19 h 78"/>
              <a:gd name="T70" fmla="*/ 2 w 121"/>
              <a:gd name="T71" fmla="*/ 19 h 78"/>
              <a:gd name="T72" fmla="*/ 2 w 121"/>
              <a:gd name="T73" fmla="*/ 19 h 78"/>
              <a:gd name="T74" fmla="*/ 2 w 121"/>
              <a:gd name="T75" fmla="*/ 19 h 78"/>
              <a:gd name="T76" fmla="*/ 2 w 121"/>
              <a:gd name="T77" fmla="*/ 19 h 78"/>
              <a:gd name="T78" fmla="*/ 2 w 121"/>
              <a:gd name="T79" fmla="*/ 19 h 78"/>
              <a:gd name="T80" fmla="*/ 2 w 121"/>
              <a:gd name="T81" fmla="*/ 19 h 78"/>
              <a:gd name="T82" fmla="*/ 2 w 121"/>
              <a:gd name="T83" fmla="*/ 17 h 78"/>
              <a:gd name="T84" fmla="*/ 2 w 121"/>
              <a:gd name="T85" fmla="*/ 15 h 78"/>
              <a:gd name="T86" fmla="*/ 2 w 121"/>
              <a:gd name="T87" fmla="*/ 14 h 78"/>
              <a:gd name="T88" fmla="*/ 2 w 121"/>
              <a:gd name="T89" fmla="*/ 14 h 78"/>
              <a:gd name="T90" fmla="*/ 2 w 121"/>
              <a:gd name="T91" fmla="*/ 18 h 78"/>
              <a:gd name="T92" fmla="*/ 2 w 121"/>
              <a:gd name="T93" fmla="*/ 19 h 78"/>
              <a:gd name="T94" fmla="*/ 2 w 121"/>
              <a:gd name="T95" fmla="*/ 19 h 78"/>
              <a:gd name="T96" fmla="*/ 2 w 121"/>
              <a:gd name="T97" fmla="*/ 19 h 78"/>
              <a:gd name="T98" fmla="*/ 2 w 121"/>
              <a:gd name="T99" fmla="*/ 19 h 78"/>
              <a:gd name="T100" fmla="*/ 2 w 121"/>
              <a:gd name="T101" fmla="*/ 19 h 78"/>
              <a:gd name="T102" fmla="*/ 2 w 121"/>
              <a:gd name="T103" fmla="*/ 19 h 78"/>
              <a:gd name="T104" fmla="*/ 2 w 121"/>
              <a:gd name="T105" fmla="*/ 19 h 78"/>
              <a:gd name="T106" fmla="*/ 2 w 121"/>
              <a:gd name="T107" fmla="*/ 19 h 78"/>
              <a:gd name="T108" fmla="*/ 2 w 121"/>
              <a:gd name="T109" fmla="*/ 19 h 78"/>
              <a:gd name="T110" fmla="*/ 2 w 121"/>
              <a:gd name="T111" fmla="*/ 19 h 78"/>
              <a:gd name="T112" fmla="*/ 2 w 121"/>
              <a:gd name="T113" fmla="*/ 19 h 78"/>
              <a:gd name="T114" fmla="*/ 2 w 121"/>
              <a:gd name="T115" fmla="*/ 19 h 78"/>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w 121"/>
              <a:gd name="T175" fmla="*/ 0 h 78"/>
              <a:gd name="T176" fmla="*/ 121 w 121"/>
              <a:gd name="T177" fmla="*/ 78 h 78"/>
            </a:gdLst>
            <a:ahLst/>
            <a:cxnLst>
              <a:cxn ang="T116">
                <a:pos x="T0" y="T1"/>
              </a:cxn>
              <a:cxn ang="T117">
                <a:pos x="T2" y="T3"/>
              </a:cxn>
              <a:cxn ang="T118">
                <a:pos x="T4" y="T5"/>
              </a:cxn>
              <a:cxn ang="T119">
                <a:pos x="T6" y="T7"/>
              </a:cxn>
              <a:cxn ang="T120">
                <a:pos x="T8" y="T9"/>
              </a:cxn>
              <a:cxn ang="T121">
                <a:pos x="T10" y="T11"/>
              </a:cxn>
              <a:cxn ang="T122">
                <a:pos x="T12" y="T13"/>
              </a:cxn>
              <a:cxn ang="T123">
                <a:pos x="T14" y="T15"/>
              </a:cxn>
              <a:cxn ang="T124">
                <a:pos x="T16" y="T17"/>
              </a:cxn>
              <a:cxn ang="T125">
                <a:pos x="T18" y="T19"/>
              </a:cxn>
              <a:cxn ang="T126">
                <a:pos x="T20" y="T21"/>
              </a:cxn>
              <a:cxn ang="T127">
                <a:pos x="T22" y="T23"/>
              </a:cxn>
              <a:cxn ang="T128">
                <a:pos x="T24" y="T25"/>
              </a:cxn>
              <a:cxn ang="T129">
                <a:pos x="T26" y="T27"/>
              </a:cxn>
              <a:cxn ang="T130">
                <a:pos x="T28" y="T29"/>
              </a:cxn>
              <a:cxn ang="T131">
                <a:pos x="T30" y="T31"/>
              </a:cxn>
              <a:cxn ang="T132">
                <a:pos x="T32" y="T33"/>
              </a:cxn>
              <a:cxn ang="T133">
                <a:pos x="T34" y="T35"/>
              </a:cxn>
              <a:cxn ang="T134">
                <a:pos x="T36" y="T37"/>
              </a:cxn>
              <a:cxn ang="T135">
                <a:pos x="T38" y="T39"/>
              </a:cxn>
              <a:cxn ang="T136">
                <a:pos x="T40" y="T41"/>
              </a:cxn>
              <a:cxn ang="T137">
                <a:pos x="T42" y="T43"/>
              </a:cxn>
              <a:cxn ang="T138">
                <a:pos x="T44" y="T45"/>
              </a:cxn>
              <a:cxn ang="T139">
                <a:pos x="T46" y="T47"/>
              </a:cxn>
              <a:cxn ang="T140">
                <a:pos x="T48" y="T49"/>
              </a:cxn>
              <a:cxn ang="T141">
                <a:pos x="T50" y="T51"/>
              </a:cxn>
              <a:cxn ang="T142">
                <a:pos x="T52" y="T53"/>
              </a:cxn>
              <a:cxn ang="T143">
                <a:pos x="T54" y="T55"/>
              </a:cxn>
              <a:cxn ang="T144">
                <a:pos x="T56" y="T57"/>
              </a:cxn>
              <a:cxn ang="T145">
                <a:pos x="T58" y="T59"/>
              </a:cxn>
              <a:cxn ang="T146">
                <a:pos x="T60" y="T61"/>
              </a:cxn>
              <a:cxn ang="T147">
                <a:pos x="T62" y="T63"/>
              </a:cxn>
              <a:cxn ang="T148">
                <a:pos x="T64" y="T65"/>
              </a:cxn>
              <a:cxn ang="T149">
                <a:pos x="T66" y="T67"/>
              </a:cxn>
              <a:cxn ang="T150">
                <a:pos x="T68" y="T69"/>
              </a:cxn>
              <a:cxn ang="T151">
                <a:pos x="T70" y="T71"/>
              </a:cxn>
              <a:cxn ang="T152">
                <a:pos x="T72" y="T73"/>
              </a:cxn>
              <a:cxn ang="T153">
                <a:pos x="T74" y="T75"/>
              </a:cxn>
              <a:cxn ang="T154">
                <a:pos x="T76" y="T77"/>
              </a:cxn>
              <a:cxn ang="T155">
                <a:pos x="T78" y="T79"/>
              </a:cxn>
              <a:cxn ang="T156">
                <a:pos x="T80" y="T81"/>
              </a:cxn>
              <a:cxn ang="T157">
                <a:pos x="T82" y="T83"/>
              </a:cxn>
              <a:cxn ang="T158">
                <a:pos x="T84" y="T85"/>
              </a:cxn>
              <a:cxn ang="T159">
                <a:pos x="T86" y="T87"/>
              </a:cxn>
              <a:cxn ang="T160">
                <a:pos x="T88" y="T89"/>
              </a:cxn>
              <a:cxn ang="T161">
                <a:pos x="T90" y="T91"/>
              </a:cxn>
              <a:cxn ang="T162">
                <a:pos x="T92" y="T93"/>
              </a:cxn>
              <a:cxn ang="T163">
                <a:pos x="T94" y="T95"/>
              </a:cxn>
              <a:cxn ang="T164">
                <a:pos x="T96" y="T97"/>
              </a:cxn>
              <a:cxn ang="T165">
                <a:pos x="T98" y="T99"/>
              </a:cxn>
              <a:cxn ang="T166">
                <a:pos x="T100" y="T101"/>
              </a:cxn>
              <a:cxn ang="T167">
                <a:pos x="T102" y="T103"/>
              </a:cxn>
              <a:cxn ang="T168">
                <a:pos x="T104" y="T105"/>
              </a:cxn>
              <a:cxn ang="T169">
                <a:pos x="T106" y="T107"/>
              </a:cxn>
              <a:cxn ang="T170">
                <a:pos x="T108" y="T109"/>
              </a:cxn>
              <a:cxn ang="T171">
                <a:pos x="T110" y="T111"/>
              </a:cxn>
              <a:cxn ang="T172">
                <a:pos x="T112" y="T113"/>
              </a:cxn>
              <a:cxn ang="T173">
                <a:pos x="T114" y="T115"/>
              </a:cxn>
            </a:cxnLst>
            <a:rect l="T174" t="T175" r="T176" b="T177"/>
            <a:pathLst>
              <a:path w="121" h="78">
                <a:moveTo>
                  <a:pt x="121" y="6"/>
                </a:moveTo>
                <a:lnTo>
                  <a:pt x="118" y="5"/>
                </a:lnTo>
                <a:lnTo>
                  <a:pt x="116" y="4"/>
                </a:lnTo>
                <a:lnTo>
                  <a:pt x="113" y="3"/>
                </a:lnTo>
                <a:lnTo>
                  <a:pt x="109" y="3"/>
                </a:lnTo>
                <a:lnTo>
                  <a:pt x="107" y="2"/>
                </a:lnTo>
                <a:lnTo>
                  <a:pt x="105" y="2"/>
                </a:lnTo>
                <a:lnTo>
                  <a:pt x="102" y="1"/>
                </a:lnTo>
                <a:lnTo>
                  <a:pt x="100" y="1"/>
                </a:lnTo>
                <a:lnTo>
                  <a:pt x="97" y="1"/>
                </a:lnTo>
                <a:lnTo>
                  <a:pt x="95" y="1"/>
                </a:lnTo>
                <a:lnTo>
                  <a:pt x="92" y="0"/>
                </a:lnTo>
                <a:lnTo>
                  <a:pt x="89" y="0"/>
                </a:lnTo>
                <a:lnTo>
                  <a:pt x="84" y="1"/>
                </a:lnTo>
                <a:lnTo>
                  <a:pt x="80" y="1"/>
                </a:lnTo>
                <a:lnTo>
                  <a:pt x="76" y="1"/>
                </a:lnTo>
                <a:lnTo>
                  <a:pt x="72" y="2"/>
                </a:lnTo>
                <a:lnTo>
                  <a:pt x="68" y="3"/>
                </a:lnTo>
                <a:lnTo>
                  <a:pt x="64" y="4"/>
                </a:lnTo>
                <a:lnTo>
                  <a:pt x="60" y="5"/>
                </a:lnTo>
                <a:lnTo>
                  <a:pt x="56" y="6"/>
                </a:lnTo>
                <a:lnTo>
                  <a:pt x="52" y="8"/>
                </a:lnTo>
                <a:lnTo>
                  <a:pt x="49" y="9"/>
                </a:lnTo>
                <a:lnTo>
                  <a:pt x="46" y="11"/>
                </a:lnTo>
                <a:lnTo>
                  <a:pt x="42" y="13"/>
                </a:lnTo>
                <a:lnTo>
                  <a:pt x="39" y="15"/>
                </a:lnTo>
                <a:lnTo>
                  <a:pt x="36" y="17"/>
                </a:lnTo>
                <a:lnTo>
                  <a:pt x="33" y="19"/>
                </a:lnTo>
                <a:lnTo>
                  <a:pt x="30" y="21"/>
                </a:lnTo>
                <a:lnTo>
                  <a:pt x="27" y="23"/>
                </a:lnTo>
                <a:lnTo>
                  <a:pt x="25" y="25"/>
                </a:lnTo>
                <a:lnTo>
                  <a:pt x="22" y="27"/>
                </a:lnTo>
                <a:lnTo>
                  <a:pt x="20" y="30"/>
                </a:lnTo>
                <a:lnTo>
                  <a:pt x="17" y="32"/>
                </a:lnTo>
                <a:lnTo>
                  <a:pt x="15" y="35"/>
                </a:lnTo>
                <a:lnTo>
                  <a:pt x="13" y="37"/>
                </a:lnTo>
                <a:lnTo>
                  <a:pt x="11" y="39"/>
                </a:lnTo>
                <a:lnTo>
                  <a:pt x="10" y="42"/>
                </a:lnTo>
                <a:lnTo>
                  <a:pt x="8" y="44"/>
                </a:lnTo>
                <a:lnTo>
                  <a:pt x="7" y="46"/>
                </a:lnTo>
                <a:lnTo>
                  <a:pt x="5" y="49"/>
                </a:lnTo>
                <a:lnTo>
                  <a:pt x="4" y="51"/>
                </a:lnTo>
                <a:lnTo>
                  <a:pt x="3" y="53"/>
                </a:lnTo>
                <a:lnTo>
                  <a:pt x="2" y="55"/>
                </a:lnTo>
                <a:lnTo>
                  <a:pt x="1" y="58"/>
                </a:lnTo>
                <a:lnTo>
                  <a:pt x="1" y="59"/>
                </a:lnTo>
                <a:lnTo>
                  <a:pt x="0" y="61"/>
                </a:lnTo>
                <a:lnTo>
                  <a:pt x="0" y="63"/>
                </a:lnTo>
                <a:lnTo>
                  <a:pt x="0" y="64"/>
                </a:lnTo>
                <a:lnTo>
                  <a:pt x="0" y="65"/>
                </a:lnTo>
                <a:lnTo>
                  <a:pt x="0" y="66"/>
                </a:lnTo>
                <a:lnTo>
                  <a:pt x="0" y="67"/>
                </a:lnTo>
                <a:lnTo>
                  <a:pt x="0" y="68"/>
                </a:lnTo>
                <a:lnTo>
                  <a:pt x="1" y="69"/>
                </a:lnTo>
                <a:lnTo>
                  <a:pt x="1" y="70"/>
                </a:lnTo>
                <a:lnTo>
                  <a:pt x="2" y="71"/>
                </a:lnTo>
                <a:lnTo>
                  <a:pt x="2" y="72"/>
                </a:lnTo>
                <a:lnTo>
                  <a:pt x="2" y="73"/>
                </a:lnTo>
                <a:lnTo>
                  <a:pt x="3" y="73"/>
                </a:lnTo>
                <a:lnTo>
                  <a:pt x="4" y="74"/>
                </a:lnTo>
                <a:lnTo>
                  <a:pt x="4" y="75"/>
                </a:lnTo>
                <a:lnTo>
                  <a:pt x="5" y="75"/>
                </a:lnTo>
                <a:lnTo>
                  <a:pt x="6" y="76"/>
                </a:lnTo>
                <a:lnTo>
                  <a:pt x="7" y="76"/>
                </a:lnTo>
                <a:lnTo>
                  <a:pt x="8" y="77"/>
                </a:lnTo>
                <a:lnTo>
                  <a:pt x="9" y="77"/>
                </a:lnTo>
                <a:lnTo>
                  <a:pt x="10" y="78"/>
                </a:lnTo>
                <a:lnTo>
                  <a:pt x="11" y="78"/>
                </a:lnTo>
                <a:lnTo>
                  <a:pt x="13" y="78"/>
                </a:lnTo>
                <a:lnTo>
                  <a:pt x="14" y="78"/>
                </a:lnTo>
                <a:lnTo>
                  <a:pt x="16" y="78"/>
                </a:lnTo>
                <a:lnTo>
                  <a:pt x="17" y="78"/>
                </a:lnTo>
                <a:lnTo>
                  <a:pt x="19" y="78"/>
                </a:lnTo>
                <a:lnTo>
                  <a:pt x="21" y="78"/>
                </a:lnTo>
                <a:lnTo>
                  <a:pt x="22" y="78"/>
                </a:lnTo>
                <a:lnTo>
                  <a:pt x="24" y="78"/>
                </a:lnTo>
                <a:lnTo>
                  <a:pt x="26" y="77"/>
                </a:lnTo>
                <a:lnTo>
                  <a:pt x="28" y="77"/>
                </a:lnTo>
                <a:lnTo>
                  <a:pt x="29" y="77"/>
                </a:lnTo>
                <a:lnTo>
                  <a:pt x="31" y="76"/>
                </a:lnTo>
                <a:lnTo>
                  <a:pt x="32" y="76"/>
                </a:lnTo>
                <a:lnTo>
                  <a:pt x="34" y="75"/>
                </a:lnTo>
                <a:lnTo>
                  <a:pt x="35" y="74"/>
                </a:lnTo>
                <a:lnTo>
                  <a:pt x="37" y="74"/>
                </a:lnTo>
                <a:lnTo>
                  <a:pt x="38" y="73"/>
                </a:lnTo>
                <a:lnTo>
                  <a:pt x="40" y="72"/>
                </a:lnTo>
                <a:lnTo>
                  <a:pt x="41" y="71"/>
                </a:lnTo>
                <a:lnTo>
                  <a:pt x="43" y="71"/>
                </a:lnTo>
                <a:lnTo>
                  <a:pt x="45" y="69"/>
                </a:lnTo>
                <a:lnTo>
                  <a:pt x="48" y="67"/>
                </a:lnTo>
                <a:lnTo>
                  <a:pt x="50" y="65"/>
                </a:lnTo>
                <a:lnTo>
                  <a:pt x="53" y="63"/>
                </a:lnTo>
                <a:lnTo>
                  <a:pt x="55" y="62"/>
                </a:lnTo>
                <a:lnTo>
                  <a:pt x="57" y="60"/>
                </a:lnTo>
                <a:lnTo>
                  <a:pt x="59" y="58"/>
                </a:lnTo>
                <a:lnTo>
                  <a:pt x="61" y="56"/>
                </a:lnTo>
                <a:lnTo>
                  <a:pt x="48" y="77"/>
                </a:lnTo>
                <a:lnTo>
                  <a:pt x="78" y="77"/>
                </a:lnTo>
                <a:lnTo>
                  <a:pt x="121" y="6"/>
                </a:lnTo>
                <a:close/>
                <a:moveTo>
                  <a:pt x="35" y="54"/>
                </a:moveTo>
                <a:lnTo>
                  <a:pt x="36" y="53"/>
                </a:lnTo>
                <a:lnTo>
                  <a:pt x="36" y="52"/>
                </a:lnTo>
                <a:lnTo>
                  <a:pt x="37" y="51"/>
                </a:lnTo>
                <a:lnTo>
                  <a:pt x="38" y="50"/>
                </a:lnTo>
                <a:lnTo>
                  <a:pt x="38" y="48"/>
                </a:lnTo>
                <a:lnTo>
                  <a:pt x="39" y="47"/>
                </a:lnTo>
                <a:lnTo>
                  <a:pt x="40" y="45"/>
                </a:lnTo>
                <a:lnTo>
                  <a:pt x="41" y="43"/>
                </a:lnTo>
                <a:lnTo>
                  <a:pt x="42" y="42"/>
                </a:lnTo>
                <a:lnTo>
                  <a:pt x="43" y="40"/>
                </a:lnTo>
                <a:lnTo>
                  <a:pt x="45" y="38"/>
                </a:lnTo>
                <a:lnTo>
                  <a:pt x="46" y="37"/>
                </a:lnTo>
                <a:lnTo>
                  <a:pt x="47" y="35"/>
                </a:lnTo>
                <a:lnTo>
                  <a:pt x="49" y="33"/>
                </a:lnTo>
                <a:lnTo>
                  <a:pt x="50" y="32"/>
                </a:lnTo>
                <a:lnTo>
                  <a:pt x="52" y="30"/>
                </a:lnTo>
                <a:lnTo>
                  <a:pt x="53" y="28"/>
                </a:lnTo>
                <a:lnTo>
                  <a:pt x="55" y="27"/>
                </a:lnTo>
                <a:lnTo>
                  <a:pt x="56" y="25"/>
                </a:lnTo>
                <a:lnTo>
                  <a:pt x="58" y="24"/>
                </a:lnTo>
                <a:lnTo>
                  <a:pt x="60" y="22"/>
                </a:lnTo>
                <a:lnTo>
                  <a:pt x="61" y="21"/>
                </a:lnTo>
                <a:lnTo>
                  <a:pt x="63" y="20"/>
                </a:lnTo>
                <a:lnTo>
                  <a:pt x="65" y="18"/>
                </a:lnTo>
                <a:lnTo>
                  <a:pt x="67" y="17"/>
                </a:lnTo>
                <a:lnTo>
                  <a:pt x="68" y="16"/>
                </a:lnTo>
                <a:lnTo>
                  <a:pt x="70" y="15"/>
                </a:lnTo>
                <a:lnTo>
                  <a:pt x="72" y="15"/>
                </a:lnTo>
                <a:lnTo>
                  <a:pt x="74" y="14"/>
                </a:lnTo>
                <a:lnTo>
                  <a:pt x="75" y="14"/>
                </a:lnTo>
                <a:lnTo>
                  <a:pt x="77" y="14"/>
                </a:lnTo>
                <a:lnTo>
                  <a:pt x="79" y="13"/>
                </a:lnTo>
                <a:lnTo>
                  <a:pt x="81" y="14"/>
                </a:lnTo>
                <a:lnTo>
                  <a:pt x="82" y="14"/>
                </a:lnTo>
                <a:lnTo>
                  <a:pt x="83" y="14"/>
                </a:lnTo>
                <a:lnTo>
                  <a:pt x="84" y="14"/>
                </a:lnTo>
                <a:lnTo>
                  <a:pt x="81" y="18"/>
                </a:lnTo>
                <a:lnTo>
                  <a:pt x="79" y="21"/>
                </a:lnTo>
                <a:lnTo>
                  <a:pt x="77" y="25"/>
                </a:lnTo>
                <a:lnTo>
                  <a:pt x="74" y="28"/>
                </a:lnTo>
                <a:lnTo>
                  <a:pt x="72" y="31"/>
                </a:lnTo>
                <a:lnTo>
                  <a:pt x="70" y="34"/>
                </a:lnTo>
                <a:lnTo>
                  <a:pt x="67" y="37"/>
                </a:lnTo>
                <a:lnTo>
                  <a:pt x="65" y="39"/>
                </a:lnTo>
                <a:lnTo>
                  <a:pt x="62" y="44"/>
                </a:lnTo>
                <a:lnTo>
                  <a:pt x="58" y="47"/>
                </a:lnTo>
                <a:lnTo>
                  <a:pt x="56" y="50"/>
                </a:lnTo>
                <a:lnTo>
                  <a:pt x="54" y="52"/>
                </a:lnTo>
                <a:lnTo>
                  <a:pt x="53" y="53"/>
                </a:lnTo>
                <a:lnTo>
                  <a:pt x="51" y="54"/>
                </a:lnTo>
                <a:lnTo>
                  <a:pt x="49" y="56"/>
                </a:lnTo>
                <a:lnTo>
                  <a:pt x="48" y="57"/>
                </a:lnTo>
                <a:lnTo>
                  <a:pt x="47" y="58"/>
                </a:lnTo>
                <a:lnTo>
                  <a:pt x="46" y="58"/>
                </a:lnTo>
                <a:lnTo>
                  <a:pt x="45" y="59"/>
                </a:lnTo>
                <a:lnTo>
                  <a:pt x="44" y="59"/>
                </a:lnTo>
                <a:lnTo>
                  <a:pt x="43" y="60"/>
                </a:lnTo>
                <a:lnTo>
                  <a:pt x="42" y="60"/>
                </a:lnTo>
                <a:lnTo>
                  <a:pt x="41" y="60"/>
                </a:lnTo>
                <a:lnTo>
                  <a:pt x="40" y="60"/>
                </a:lnTo>
                <a:lnTo>
                  <a:pt x="39" y="60"/>
                </a:lnTo>
                <a:lnTo>
                  <a:pt x="38" y="60"/>
                </a:lnTo>
                <a:lnTo>
                  <a:pt x="37" y="60"/>
                </a:lnTo>
                <a:lnTo>
                  <a:pt x="36" y="59"/>
                </a:lnTo>
                <a:lnTo>
                  <a:pt x="35" y="58"/>
                </a:lnTo>
                <a:lnTo>
                  <a:pt x="35" y="57"/>
                </a:lnTo>
                <a:lnTo>
                  <a:pt x="35" y="56"/>
                </a:lnTo>
                <a:lnTo>
                  <a:pt x="35" y="55"/>
                </a:lnTo>
                <a:lnTo>
                  <a:pt x="35" y="54"/>
                </a:lnTo>
                <a:close/>
              </a:path>
            </a:pathLst>
          </a:custGeom>
          <a:solidFill>
            <a:srgbClr val="00593C"/>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303184" name="AutoShape 15">
            <a:extLst>
              <a:ext uri="{FF2B5EF4-FFF2-40B4-BE49-F238E27FC236}">
                <a16:creationId xmlns:a16="http://schemas.microsoft.com/office/drawing/2014/main" id="{B0A2C38F-C0D1-47FF-9805-13FC2A93ED54}"/>
              </a:ext>
            </a:extLst>
          </xdr:cNvPr>
          <xdr:cNvSpPr>
            <a:spLocks noChangeAspect="1" noChangeArrowheads="1"/>
          </xdr:cNvSpPr>
        </xdr:nvSpPr>
        <xdr:spPr bwMode="auto">
          <a:xfrm>
            <a:off x="576" y="1584"/>
            <a:ext cx="1056" cy="2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grpSp>
    <xdr:clientData/>
  </xdr:twoCellAnchor>
  <xdr:twoCellAnchor>
    <xdr:from>
      <xdr:col>0</xdr:col>
      <xdr:colOff>273845</xdr:colOff>
      <xdr:row>15</xdr:row>
      <xdr:rowOff>107156</xdr:rowOff>
    </xdr:from>
    <xdr:to>
      <xdr:col>7</xdr:col>
      <xdr:colOff>595313</xdr:colOff>
      <xdr:row>23</xdr:row>
      <xdr:rowOff>238125</xdr:rowOff>
    </xdr:to>
    <xdr:sp macro="" textlink="">
      <xdr:nvSpPr>
        <xdr:cNvPr id="5" name="Retângulo 4">
          <a:extLst>
            <a:ext uri="{FF2B5EF4-FFF2-40B4-BE49-F238E27FC236}">
              <a16:creationId xmlns:a16="http://schemas.microsoft.com/office/drawing/2014/main" id="{12B457DE-9F54-451B-BDAE-6E2BBAF234FE}"/>
            </a:ext>
          </a:extLst>
        </xdr:cNvPr>
        <xdr:cNvSpPr/>
      </xdr:nvSpPr>
      <xdr:spPr>
        <a:xfrm>
          <a:off x="273845" y="2928937"/>
          <a:ext cx="4571999" cy="1845469"/>
        </a:xfrm>
        <a:prstGeom prst="rect">
          <a:avLst/>
        </a:prstGeom>
        <a:solidFill>
          <a:srgbClr val="00B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pt-BR" sz="1200"/>
            <a:t>WELCOME TO</a:t>
          </a:r>
          <a:r>
            <a:rPr lang="pt-BR" sz="1200" baseline="0"/>
            <a:t> SLC AGRICOLA'S VALUATION MODEL, AN INNOVATIVE, "USER-FRIENDLY" TOOL THAT WE DEVELOPED TO HELP YOU KEEP TRACK  OF OUR COMPANY´S "FAIR VALUE". ALL YOU HAVE TO DO IS FILL IN YOUR PREMISSES ON THE YELLOW CELLS AT THE SHEET "ASSUMPTIONS'. FURTHER DETAILMENTS CAN BE FOUND ON THE PDF "USER MANUAL FOR THE VALUATION MODEL " ON THE LINK BELOW. WE HOPE YOU LIKE IT! </a:t>
          </a:r>
        </a:p>
        <a:p>
          <a:pPr algn="l"/>
          <a:r>
            <a:rPr lang="pt-BR" sz="1200" baseline="0"/>
            <a:t>DON´T HESITATE IN CONTACTING OUR IR DEPARMENT FOR MORE INFORMATION.</a:t>
          </a:r>
          <a:endParaRPr lang="pt-BR" sz="1200"/>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11</xdr:col>
      <xdr:colOff>228600</xdr:colOff>
      <xdr:row>2</xdr:row>
      <xdr:rowOff>38100</xdr:rowOff>
    </xdr:from>
    <xdr:to>
      <xdr:col>13</xdr:col>
      <xdr:colOff>514350</xdr:colOff>
      <xdr:row>3</xdr:row>
      <xdr:rowOff>38100</xdr:rowOff>
    </xdr:to>
    <xdr:grpSp>
      <xdr:nvGrpSpPr>
        <xdr:cNvPr id="1303857" name="Group 1">
          <a:extLst>
            <a:ext uri="{FF2B5EF4-FFF2-40B4-BE49-F238E27FC236}">
              <a16:creationId xmlns:a16="http://schemas.microsoft.com/office/drawing/2014/main" id="{3F44D1E5-06A8-40EB-9679-00AD8C7550A5}"/>
            </a:ext>
          </a:extLst>
        </xdr:cNvPr>
        <xdr:cNvGrpSpPr>
          <a:grpSpLocks/>
        </xdr:cNvGrpSpPr>
      </xdr:nvGrpSpPr>
      <xdr:grpSpPr bwMode="auto">
        <a:xfrm>
          <a:off x="7115175" y="523875"/>
          <a:ext cx="1314450" cy="304800"/>
          <a:chOff x="480" y="1584"/>
          <a:chExt cx="1152" cy="292"/>
        </a:xfrm>
      </xdr:grpSpPr>
      <xdr:sp macro="" textlink="">
        <xdr:nvSpPr>
          <xdr:cNvPr id="1303859" name="AutoShape 2">
            <a:extLst>
              <a:ext uri="{FF2B5EF4-FFF2-40B4-BE49-F238E27FC236}">
                <a16:creationId xmlns:a16="http://schemas.microsoft.com/office/drawing/2014/main" id="{379FD489-A8B2-4638-9FB6-983425DFD062}"/>
              </a:ext>
            </a:extLst>
          </xdr:cNvPr>
          <xdr:cNvSpPr>
            <a:spLocks noChangeAspect="1" noChangeArrowheads="1"/>
          </xdr:cNvSpPr>
        </xdr:nvSpPr>
        <xdr:spPr bwMode="auto">
          <a:xfrm>
            <a:off x="480" y="1599"/>
            <a:ext cx="1056" cy="2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303860" name="Freeform 3">
            <a:extLst>
              <a:ext uri="{FF2B5EF4-FFF2-40B4-BE49-F238E27FC236}">
                <a16:creationId xmlns:a16="http://schemas.microsoft.com/office/drawing/2014/main" id="{DC6F5CA5-FA88-4631-A5C3-30749BC366CB}"/>
              </a:ext>
            </a:extLst>
          </xdr:cNvPr>
          <xdr:cNvSpPr>
            <a:spLocks/>
          </xdr:cNvSpPr>
        </xdr:nvSpPr>
        <xdr:spPr bwMode="auto">
          <a:xfrm>
            <a:off x="480" y="1759"/>
            <a:ext cx="455" cy="82"/>
          </a:xfrm>
          <a:custGeom>
            <a:avLst/>
            <a:gdLst>
              <a:gd name="T0" fmla="*/ 0 w 558"/>
              <a:gd name="T1" fmla="*/ 21 h 84"/>
              <a:gd name="T2" fmla="*/ 2 w 558"/>
              <a:gd name="T3" fmla="*/ 3 h 84"/>
              <a:gd name="T4" fmla="*/ 2 w 558"/>
              <a:gd name="T5" fmla="*/ 7 h 84"/>
              <a:gd name="T6" fmla="*/ 2 w 558"/>
              <a:gd name="T7" fmla="*/ 12 h 84"/>
              <a:gd name="T8" fmla="*/ 2 w 558"/>
              <a:gd name="T9" fmla="*/ 17 h 84"/>
              <a:gd name="T10" fmla="*/ 2 w 558"/>
              <a:gd name="T11" fmla="*/ 21 h 84"/>
              <a:gd name="T12" fmla="*/ 2 w 558"/>
              <a:gd name="T13" fmla="*/ 21 h 84"/>
              <a:gd name="T14" fmla="*/ 2 w 558"/>
              <a:gd name="T15" fmla="*/ 21 h 84"/>
              <a:gd name="T16" fmla="*/ 2 w 558"/>
              <a:gd name="T17" fmla="*/ 21 h 84"/>
              <a:gd name="T18" fmla="*/ 2 w 558"/>
              <a:gd name="T19" fmla="*/ 21 h 84"/>
              <a:gd name="T20" fmla="*/ 2 w 558"/>
              <a:gd name="T21" fmla="*/ 21 h 84"/>
              <a:gd name="T22" fmla="*/ 2 w 558"/>
              <a:gd name="T23" fmla="*/ 21 h 84"/>
              <a:gd name="T24" fmla="*/ 2 w 558"/>
              <a:gd name="T25" fmla="*/ 21 h 84"/>
              <a:gd name="T26" fmla="*/ 2 w 558"/>
              <a:gd name="T27" fmla="*/ 21 h 84"/>
              <a:gd name="T28" fmla="*/ 2 w 558"/>
              <a:gd name="T29" fmla="*/ 21 h 84"/>
              <a:gd name="T30" fmla="*/ 2 w 558"/>
              <a:gd name="T31" fmla="*/ 21 h 84"/>
              <a:gd name="T32" fmla="*/ 2 w 558"/>
              <a:gd name="T33" fmla="*/ 21 h 84"/>
              <a:gd name="T34" fmla="*/ 2 w 558"/>
              <a:gd name="T35" fmla="*/ 21 h 84"/>
              <a:gd name="T36" fmla="*/ 2 w 558"/>
              <a:gd name="T37" fmla="*/ 21 h 84"/>
              <a:gd name="T38" fmla="*/ 2 w 558"/>
              <a:gd name="T39" fmla="*/ 21 h 84"/>
              <a:gd name="T40" fmla="*/ 2 w 558"/>
              <a:gd name="T41" fmla="*/ 21 h 84"/>
              <a:gd name="T42" fmla="*/ 2 w 558"/>
              <a:gd name="T43" fmla="*/ 21 h 84"/>
              <a:gd name="T44" fmla="*/ 2 w 558"/>
              <a:gd name="T45" fmla="*/ 21 h 84"/>
              <a:gd name="T46" fmla="*/ 2 w 558"/>
              <a:gd name="T47" fmla="*/ 21 h 84"/>
              <a:gd name="T48" fmla="*/ 2 w 558"/>
              <a:gd name="T49" fmla="*/ 21 h 84"/>
              <a:gd name="T50" fmla="*/ 2 w 558"/>
              <a:gd name="T51" fmla="*/ 21 h 84"/>
              <a:gd name="T52" fmla="*/ 2 w 558"/>
              <a:gd name="T53" fmla="*/ 21 h 84"/>
              <a:gd name="T54" fmla="*/ 2 w 558"/>
              <a:gd name="T55" fmla="*/ 21 h 84"/>
              <a:gd name="T56" fmla="*/ 2 w 558"/>
              <a:gd name="T57" fmla="*/ 21 h 84"/>
              <a:gd name="T58" fmla="*/ 2 w 558"/>
              <a:gd name="T59" fmla="*/ 17 h 84"/>
              <a:gd name="T60" fmla="*/ 2 w 558"/>
              <a:gd name="T61" fmla="*/ 12 h 84"/>
              <a:gd name="T62" fmla="*/ 2 w 558"/>
              <a:gd name="T63" fmla="*/ 8 h 84"/>
              <a:gd name="T64" fmla="*/ 2 w 558"/>
              <a:gd name="T65" fmla="*/ 3 h 84"/>
              <a:gd name="T66" fmla="*/ 2 w 558"/>
              <a:gd name="T67" fmla="*/ 21 h 84"/>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w 558"/>
              <a:gd name="T103" fmla="*/ 0 h 84"/>
              <a:gd name="T104" fmla="*/ 558 w 558"/>
              <a:gd name="T105" fmla="*/ 84 h 84"/>
            </a:gdLst>
            <a:ahLst/>
            <a:cxnLst>
              <a:cxn ang="T68">
                <a:pos x="T0" y="T1"/>
              </a:cxn>
              <a:cxn ang="T69">
                <a:pos x="T2" y="T3"/>
              </a:cxn>
              <a:cxn ang="T70">
                <a:pos x="T4" y="T5"/>
              </a:cxn>
              <a:cxn ang="T71">
                <a:pos x="T6" y="T7"/>
              </a:cxn>
              <a:cxn ang="T72">
                <a:pos x="T8" y="T9"/>
              </a:cxn>
              <a:cxn ang="T73">
                <a:pos x="T10" y="T11"/>
              </a:cxn>
              <a:cxn ang="T74">
                <a:pos x="T12" y="T13"/>
              </a:cxn>
              <a:cxn ang="T75">
                <a:pos x="T14" y="T15"/>
              </a:cxn>
              <a:cxn ang="T76">
                <a:pos x="T16" y="T17"/>
              </a:cxn>
              <a:cxn ang="T77">
                <a:pos x="T18" y="T19"/>
              </a:cxn>
              <a:cxn ang="T78">
                <a:pos x="T20" y="T21"/>
              </a:cxn>
              <a:cxn ang="T79">
                <a:pos x="T22" y="T23"/>
              </a:cxn>
              <a:cxn ang="T80">
                <a:pos x="T24" y="T25"/>
              </a:cxn>
              <a:cxn ang="T81">
                <a:pos x="T26" y="T27"/>
              </a:cxn>
              <a:cxn ang="T82">
                <a:pos x="T28" y="T29"/>
              </a:cxn>
              <a:cxn ang="T83">
                <a:pos x="T30" y="T31"/>
              </a:cxn>
              <a:cxn ang="T84">
                <a:pos x="T32" y="T33"/>
              </a:cxn>
              <a:cxn ang="T85">
                <a:pos x="T34" y="T35"/>
              </a:cxn>
              <a:cxn ang="T86">
                <a:pos x="T36" y="T37"/>
              </a:cxn>
              <a:cxn ang="T87">
                <a:pos x="T38" y="T39"/>
              </a:cxn>
              <a:cxn ang="T88">
                <a:pos x="T40" y="T41"/>
              </a:cxn>
              <a:cxn ang="T89">
                <a:pos x="T42" y="T43"/>
              </a:cxn>
              <a:cxn ang="T90">
                <a:pos x="T44" y="T45"/>
              </a:cxn>
              <a:cxn ang="T91">
                <a:pos x="T46" y="T47"/>
              </a:cxn>
              <a:cxn ang="T92">
                <a:pos x="T48" y="T49"/>
              </a:cxn>
              <a:cxn ang="T93">
                <a:pos x="T50" y="T51"/>
              </a:cxn>
              <a:cxn ang="T94">
                <a:pos x="T52" y="T53"/>
              </a:cxn>
              <a:cxn ang="T95">
                <a:pos x="T54" y="T55"/>
              </a:cxn>
              <a:cxn ang="T96">
                <a:pos x="T56" y="T57"/>
              </a:cxn>
              <a:cxn ang="T97">
                <a:pos x="T58" y="T59"/>
              </a:cxn>
              <a:cxn ang="T98">
                <a:pos x="T60" y="T61"/>
              </a:cxn>
              <a:cxn ang="T99">
                <a:pos x="T62" y="T63"/>
              </a:cxn>
              <a:cxn ang="T100">
                <a:pos x="T64" y="T65"/>
              </a:cxn>
              <a:cxn ang="T101">
                <a:pos x="T66" y="T67"/>
              </a:cxn>
            </a:cxnLst>
            <a:rect l="T102" t="T103" r="T104" b="T105"/>
            <a:pathLst>
              <a:path w="558" h="84">
                <a:moveTo>
                  <a:pt x="508" y="84"/>
                </a:moveTo>
                <a:lnTo>
                  <a:pt x="0" y="84"/>
                </a:lnTo>
                <a:lnTo>
                  <a:pt x="50" y="0"/>
                </a:lnTo>
                <a:lnTo>
                  <a:pt x="54" y="3"/>
                </a:lnTo>
                <a:lnTo>
                  <a:pt x="58" y="5"/>
                </a:lnTo>
                <a:lnTo>
                  <a:pt x="63" y="7"/>
                </a:lnTo>
                <a:lnTo>
                  <a:pt x="68" y="10"/>
                </a:lnTo>
                <a:lnTo>
                  <a:pt x="73" y="12"/>
                </a:lnTo>
                <a:lnTo>
                  <a:pt x="78" y="14"/>
                </a:lnTo>
                <a:lnTo>
                  <a:pt x="84" y="17"/>
                </a:lnTo>
                <a:lnTo>
                  <a:pt x="89" y="19"/>
                </a:lnTo>
                <a:lnTo>
                  <a:pt x="95" y="21"/>
                </a:lnTo>
                <a:lnTo>
                  <a:pt x="101" y="23"/>
                </a:lnTo>
                <a:lnTo>
                  <a:pt x="108" y="25"/>
                </a:lnTo>
                <a:lnTo>
                  <a:pt x="114" y="27"/>
                </a:lnTo>
                <a:lnTo>
                  <a:pt x="121" y="28"/>
                </a:lnTo>
                <a:lnTo>
                  <a:pt x="128" y="30"/>
                </a:lnTo>
                <a:lnTo>
                  <a:pt x="135" y="32"/>
                </a:lnTo>
                <a:lnTo>
                  <a:pt x="142" y="33"/>
                </a:lnTo>
                <a:lnTo>
                  <a:pt x="149" y="35"/>
                </a:lnTo>
                <a:lnTo>
                  <a:pt x="156" y="36"/>
                </a:lnTo>
                <a:lnTo>
                  <a:pt x="164" y="37"/>
                </a:lnTo>
                <a:lnTo>
                  <a:pt x="172" y="38"/>
                </a:lnTo>
                <a:lnTo>
                  <a:pt x="180" y="39"/>
                </a:lnTo>
                <a:lnTo>
                  <a:pt x="188" y="41"/>
                </a:lnTo>
                <a:lnTo>
                  <a:pt x="196" y="41"/>
                </a:lnTo>
                <a:lnTo>
                  <a:pt x="205" y="42"/>
                </a:lnTo>
                <a:lnTo>
                  <a:pt x="213" y="43"/>
                </a:lnTo>
                <a:lnTo>
                  <a:pt x="222" y="44"/>
                </a:lnTo>
                <a:lnTo>
                  <a:pt x="231" y="44"/>
                </a:lnTo>
                <a:lnTo>
                  <a:pt x="240" y="45"/>
                </a:lnTo>
                <a:lnTo>
                  <a:pt x="249" y="45"/>
                </a:lnTo>
                <a:lnTo>
                  <a:pt x="258" y="45"/>
                </a:lnTo>
                <a:lnTo>
                  <a:pt x="267" y="45"/>
                </a:lnTo>
                <a:lnTo>
                  <a:pt x="277" y="45"/>
                </a:lnTo>
                <a:lnTo>
                  <a:pt x="287" y="45"/>
                </a:lnTo>
                <a:lnTo>
                  <a:pt x="296" y="45"/>
                </a:lnTo>
                <a:lnTo>
                  <a:pt x="306" y="45"/>
                </a:lnTo>
                <a:lnTo>
                  <a:pt x="315" y="45"/>
                </a:lnTo>
                <a:lnTo>
                  <a:pt x="325" y="44"/>
                </a:lnTo>
                <a:lnTo>
                  <a:pt x="334" y="44"/>
                </a:lnTo>
                <a:lnTo>
                  <a:pt x="344" y="43"/>
                </a:lnTo>
                <a:lnTo>
                  <a:pt x="353" y="42"/>
                </a:lnTo>
                <a:lnTo>
                  <a:pt x="362" y="41"/>
                </a:lnTo>
                <a:lnTo>
                  <a:pt x="372" y="41"/>
                </a:lnTo>
                <a:lnTo>
                  <a:pt x="381" y="39"/>
                </a:lnTo>
                <a:lnTo>
                  <a:pt x="390" y="38"/>
                </a:lnTo>
                <a:lnTo>
                  <a:pt x="399" y="37"/>
                </a:lnTo>
                <a:lnTo>
                  <a:pt x="409" y="36"/>
                </a:lnTo>
                <a:lnTo>
                  <a:pt x="418" y="35"/>
                </a:lnTo>
                <a:lnTo>
                  <a:pt x="427" y="33"/>
                </a:lnTo>
                <a:lnTo>
                  <a:pt x="436" y="32"/>
                </a:lnTo>
                <a:lnTo>
                  <a:pt x="444" y="30"/>
                </a:lnTo>
                <a:lnTo>
                  <a:pt x="453" y="28"/>
                </a:lnTo>
                <a:lnTo>
                  <a:pt x="462" y="27"/>
                </a:lnTo>
                <a:lnTo>
                  <a:pt x="470" y="25"/>
                </a:lnTo>
                <a:lnTo>
                  <a:pt x="479" y="23"/>
                </a:lnTo>
                <a:lnTo>
                  <a:pt x="487" y="21"/>
                </a:lnTo>
                <a:lnTo>
                  <a:pt x="496" y="19"/>
                </a:lnTo>
                <a:lnTo>
                  <a:pt x="504" y="17"/>
                </a:lnTo>
                <a:lnTo>
                  <a:pt x="512" y="15"/>
                </a:lnTo>
                <a:lnTo>
                  <a:pt x="520" y="12"/>
                </a:lnTo>
                <a:lnTo>
                  <a:pt x="528" y="10"/>
                </a:lnTo>
                <a:lnTo>
                  <a:pt x="535" y="8"/>
                </a:lnTo>
                <a:lnTo>
                  <a:pt x="543" y="5"/>
                </a:lnTo>
                <a:lnTo>
                  <a:pt x="550" y="3"/>
                </a:lnTo>
                <a:lnTo>
                  <a:pt x="558" y="0"/>
                </a:lnTo>
                <a:lnTo>
                  <a:pt x="508" y="84"/>
                </a:lnTo>
                <a:close/>
              </a:path>
            </a:pathLst>
          </a:custGeom>
          <a:solidFill>
            <a:srgbClr val="00593C"/>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303861" name="Freeform 4">
            <a:extLst>
              <a:ext uri="{FF2B5EF4-FFF2-40B4-BE49-F238E27FC236}">
                <a16:creationId xmlns:a16="http://schemas.microsoft.com/office/drawing/2014/main" id="{1D347E7A-15F7-49E8-B23B-89B572ACE397}"/>
              </a:ext>
            </a:extLst>
          </xdr:cNvPr>
          <xdr:cNvSpPr>
            <a:spLocks/>
          </xdr:cNvSpPr>
        </xdr:nvSpPr>
        <xdr:spPr bwMode="auto">
          <a:xfrm>
            <a:off x="814" y="1598"/>
            <a:ext cx="196" cy="156"/>
          </a:xfrm>
          <a:custGeom>
            <a:avLst/>
            <a:gdLst>
              <a:gd name="T0" fmla="*/ 2 w 241"/>
              <a:gd name="T1" fmla="*/ 39 h 158"/>
              <a:gd name="T2" fmla="*/ 2 w 241"/>
              <a:gd name="T3" fmla="*/ 39 h 158"/>
              <a:gd name="T4" fmla="*/ 2 w 241"/>
              <a:gd name="T5" fmla="*/ 39 h 158"/>
              <a:gd name="T6" fmla="*/ 2 w 241"/>
              <a:gd name="T7" fmla="*/ 39 h 158"/>
              <a:gd name="T8" fmla="*/ 2 w 241"/>
              <a:gd name="T9" fmla="*/ 39 h 158"/>
              <a:gd name="T10" fmla="*/ 2 w 241"/>
              <a:gd name="T11" fmla="*/ 39 h 158"/>
              <a:gd name="T12" fmla="*/ 2 w 241"/>
              <a:gd name="T13" fmla="*/ 39 h 158"/>
              <a:gd name="T14" fmla="*/ 2 w 241"/>
              <a:gd name="T15" fmla="*/ 39 h 158"/>
              <a:gd name="T16" fmla="*/ 2 w 241"/>
              <a:gd name="T17" fmla="*/ 39 h 158"/>
              <a:gd name="T18" fmla="*/ 1 w 241"/>
              <a:gd name="T19" fmla="*/ 39 h 158"/>
              <a:gd name="T20" fmla="*/ 1 w 241"/>
              <a:gd name="T21" fmla="*/ 39 h 158"/>
              <a:gd name="T22" fmla="*/ 2 w 241"/>
              <a:gd name="T23" fmla="*/ 39 h 158"/>
              <a:gd name="T24" fmla="*/ 2 w 241"/>
              <a:gd name="T25" fmla="*/ 39 h 158"/>
              <a:gd name="T26" fmla="*/ 2 w 241"/>
              <a:gd name="T27" fmla="*/ 39 h 158"/>
              <a:gd name="T28" fmla="*/ 2 w 241"/>
              <a:gd name="T29" fmla="*/ 39 h 158"/>
              <a:gd name="T30" fmla="*/ 2 w 241"/>
              <a:gd name="T31" fmla="*/ 30 h 158"/>
              <a:gd name="T32" fmla="*/ 2 w 241"/>
              <a:gd name="T33" fmla="*/ 19 h 158"/>
              <a:gd name="T34" fmla="*/ 2 w 241"/>
              <a:gd name="T35" fmla="*/ 10 h 158"/>
              <a:gd name="T36" fmla="*/ 2 w 241"/>
              <a:gd name="T37" fmla="*/ 3 h 158"/>
              <a:gd name="T38" fmla="*/ 2 w 241"/>
              <a:gd name="T39" fmla="*/ 1 h 158"/>
              <a:gd name="T40" fmla="*/ 2 w 241"/>
              <a:gd name="T41" fmla="*/ 1 h 158"/>
              <a:gd name="T42" fmla="*/ 2 w 241"/>
              <a:gd name="T43" fmla="*/ 3 h 158"/>
              <a:gd name="T44" fmla="*/ 2 w 241"/>
              <a:gd name="T45" fmla="*/ 39 h 158"/>
              <a:gd name="T46" fmla="*/ 2 w 241"/>
              <a:gd name="T47" fmla="*/ 36 h 158"/>
              <a:gd name="T48" fmla="*/ 2 w 241"/>
              <a:gd name="T49" fmla="*/ 33 h 158"/>
              <a:gd name="T50" fmla="*/ 2 w 241"/>
              <a:gd name="T51" fmla="*/ 31 h 158"/>
              <a:gd name="T52" fmla="*/ 2 w 241"/>
              <a:gd name="T53" fmla="*/ 29 h 158"/>
              <a:gd name="T54" fmla="*/ 2 w 241"/>
              <a:gd name="T55" fmla="*/ 28 h 158"/>
              <a:gd name="T56" fmla="*/ 2 w 241"/>
              <a:gd name="T57" fmla="*/ 29 h 158"/>
              <a:gd name="T58" fmla="*/ 2 w 241"/>
              <a:gd name="T59" fmla="*/ 30 h 158"/>
              <a:gd name="T60" fmla="*/ 2 w 241"/>
              <a:gd name="T61" fmla="*/ 34 h 158"/>
              <a:gd name="T62" fmla="*/ 2 w 241"/>
              <a:gd name="T63" fmla="*/ 39 h 158"/>
              <a:gd name="T64" fmla="*/ 2 w 241"/>
              <a:gd name="T65" fmla="*/ 39 h 158"/>
              <a:gd name="T66" fmla="*/ 2 w 241"/>
              <a:gd name="T67" fmla="*/ 39 h 158"/>
              <a:gd name="T68" fmla="*/ 2 w 241"/>
              <a:gd name="T69" fmla="*/ 39 h 158"/>
              <a:gd name="T70" fmla="*/ 2 w 241"/>
              <a:gd name="T71" fmla="*/ 39 h 158"/>
              <a:gd name="T72" fmla="*/ 2 w 241"/>
              <a:gd name="T73" fmla="*/ 39 h 158"/>
              <a:gd name="T74" fmla="*/ 2 w 241"/>
              <a:gd name="T75" fmla="*/ 39 h 158"/>
              <a:gd name="T76" fmla="*/ 2 w 241"/>
              <a:gd name="T77" fmla="*/ 39 h 158"/>
              <a:gd name="T78" fmla="*/ 2 w 241"/>
              <a:gd name="T79" fmla="*/ 39 h 158"/>
              <a:gd name="T80" fmla="*/ 2 w 241"/>
              <a:gd name="T81" fmla="*/ 39 h 158"/>
              <a:gd name="T82" fmla="*/ 2 w 241"/>
              <a:gd name="T83" fmla="*/ 39 h 158"/>
              <a:gd name="T84" fmla="*/ 2 w 241"/>
              <a:gd name="T85" fmla="*/ 39 h 158"/>
              <a:gd name="T86" fmla="*/ 2 w 241"/>
              <a:gd name="T87" fmla="*/ 39 h 158"/>
              <a:gd name="T88" fmla="*/ 2 w 241"/>
              <a:gd name="T89" fmla="*/ 39 h 158"/>
              <a:gd name="T90" fmla="*/ 2 w 241"/>
              <a:gd name="T91" fmla="*/ 39 h 158"/>
              <a:gd name="T92" fmla="*/ 2 w 241"/>
              <a:gd name="T93" fmla="*/ 39 h 158"/>
              <a:gd name="T94" fmla="*/ 2 w 241"/>
              <a:gd name="T95" fmla="*/ 39 h 158"/>
              <a:gd name="T96" fmla="*/ 2 w 241"/>
              <a:gd name="T97" fmla="*/ 39 h 158"/>
              <a:gd name="T98" fmla="*/ 2 w 241"/>
              <a:gd name="T99" fmla="*/ 39 h 158"/>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w 241"/>
              <a:gd name="T151" fmla="*/ 0 h 158"/>
              <a:gd name="T152" fmla="*/ 241 w 241"/>
              <a:gd name="T153" fmla="*/ 158 h 158"/>
            </a:gdLst>
            <a:ahLst/>
            <a:cxnLst>
              <a:cxn ang="T100">
                <a:pos x="T0" y="T1"/>
              </a:cxn>
              <a:cxn ang="T101">
                <a:pos x="T2" y="T3"/>
              </a:cxn>
              <a:cxn ang="T102">
                <a:pos x="T4" y="T5"/>
              </a:cxn>
              <a:cxn ang="T103">
                <a:pos x="T6" y="T7"/>
              </a:cxn>
              <a:cxn ang="T104">
                <a:pos x="T8" y="T9"/>
              </a:cxn>
              <a:cxn ang="T105">
                <a:pos x="T10" y="T11"/>
              </a:cxn>
              <a:cxn ang="T106">
                <a:pos x="T12" y="T13"/>
              </a:cxn>
              <a:cxn ang="T107">
                <a:pos x="T14" y="T15"/>
              </a:cxn>
              <a:cxn ang="T108">
                <a:pos x="T16" y="T17"/>
              </a:cxn>
              <a:cxn ang="T109">
                <a:pos x="T18" y="T19"/>
              </a:cxn>
              <a:cxn ang="T110">
                <a:pos x="T20" y="T21"/>
              </a:cxn>
              <a:cxn ang="T111">
                <a:pos x="T22" y="T23"/>
              </a:cxn>
              <a:cxn ang="T112">
                <a:pos x="T24" y="T25"/>
              </a:cxn>
              <a:cxn ang="T113">
                <a:pos x="T26" y="T27"/>
              </a:cxn>
              <a:cxn ang="T114">
                <a:pos x="T28" y="T29"/>
              </a:cxn>
              <a:cxn ang="T115">
                <a:pos x="T30" y="T31"/>
              </a:cxn>
              <a:cxn ang="T116">
                <a:pos x="T32" y="T33"/>
              </a:cxn>
              <a:cxn ang="T117">
                <a:pos x="T34" y="T35"/>
              </a:cxn>
              <a:cxn ang="T118">
                <a:pos x="T36" y="T37"/>
              </a:cxn>
              <a:cxn ang="T119">
                <a:pos x="T38" y="T39"/>
              </a:cxn>
              <a:cxn ang="T120">
                <a:pos x="T40" y="T41"/>
              </a:cxn>
              <a:cxn ang="T121">
                <a:pos x="T42" y="T43"/>
              </a:cxn>
              <a:cxn ang="T122">
                <a:pos x="T44" y="T45"/>
              </a:cxn>
              <a:cxn ang="T123">
                <a:pos x="T46" y="T47"/>
              </a:cxn>
              <a:cxn ang="T124">
                <a:pos x="T48" y="T49"/>
              </a:cxn>
              <a:cxn ang="T125">
                <a:pos x="T50" y="T51"/>
              </a:cxn>
              <a:cxn ang="T126">
                <a:pos x="T52" y="T53"/>
              </a:cxn>
              <a:cxn ang="T127">
                <a:pos x="T54" y="T55"/>
              </a:cxn>
              <a:cxn ang="T128">
                <a:pos x="T56" y="T57"/>
              </a:cxn>
              <a:cxn ang="T129">
                <a:pos x="T58" y="T59"/>
              </a:cxn>
              <a:cxn ang="T130">
                <a:pos x="T60" y="T61"/>
              </a:cxn>
              <a:cxn ang="T131">
                <a:pos x="T62" y="T63"/>
              </a:cxn>
              <a:cxn ang="T132">
                <a:pos x="T64" y="T65"/>
              </a:cxn>
              <a:cxn ang="T133">
                <a:pos x="T66" y="T67"/>
              </a:cxn>
              <a:cxn ang="T134">
                <a:pos x="T68" y="T69"/>
              </a:cxn>
              <a:cxn ang="T135">
                <a:pos x="T70" y="T71"/>
              </a:cxn>
              <a:cxn ang="T136">
                <a:pos x="T72" y="T73"/>
              </a:cxn>
              <a:cxn ang="T137">
                <a:pos x="T74" y="T75"/>
              </a:cxn>
              <a:cxn ang="T138">
                <a:pos x="T76" y="T77"/>
              </a:cxn>
              <a:cxn ang="T139">
                <a:pos x="T78" y="T79"/>
              </a:cxn>
              <a:cxn ang="T140">
                <a:pos x="T80" y="T81"/>
              </a:cxn>
              <a:cxn ang="T141">
                <a:pos x="T82" y="T83"/>
              </a:cxn>
              <a:cxn ang="T142">
                <a:pos x="T84" y="T85"/>
              </a:cxn>
              <a:cxn ang="T143">
                <a:pos x="T86" y="T87"/>
              </a:cxn>
              <a:cxn ang="T144">
                <a:pos x="T88" y="T89"/>
              </a:cxn>
              <a:cxn ang="T145">
                <a:pos x="T90" y="T91"/>
              </a:cxn>
              <a:cxn ang="T146">
                <a:pos x="T92" y="T93"/>
              </a:cxn>
              <a:cxn ang="T147">
                <a:pos x="T94" y="T95"/>
              </a:cxn>
              <a:cxn ang="T148">
                <a:pos x="T96" y="T97"/>
              </a:cxn>
              <a:cxn ang="T149">
                <a:pos x="T98" y="T99"/>
              </a:cxn>
            </a:cxnLst>
            <a:rect l="T150" t="T151" r="T152" b="T153"/>
            <a:pathLst>
              <a:path w="241" h="158">
                <a:moveTo>
                  <a:pt x="157" y="147"/>
                </a:moveTo>
                <a:lnTo>
                  <a:pt x="152" y="148"/>
                </a:lnTo>
                <a:lnTo>
                  <a:pt x="148" y="150"/>
                </a:lnTo>
                <a:lnTo>
                  <a:pt x="143" y="151"/>
                </a:lnTo>
                <a:lnTo>
                  <a:pt x="138" y="152"/>
                </a:lnTo>
                <a:lnTo>
                  <a:pt x="134" y="153"/>
                </a:lnTo>
                <a:lnTo>
                  <a:pt x="129" y="154"/>
                </a:lnTo>
                <a:lnTo>
                  <a:pt x="125" y="155"/>
                </a:lnTo>
                <a:lnTo>
                  <a:pt x="121" y="156"/>
                </a:lnTo>
                <a:lnTo>
                  <a:pt x="116" y="156"/>
                </a:lnTo>
                <a:lnTo>
                  <a:pt x="112" y="157"/>
                </a:lnTo>
                <a:lnTo>
                  <a:pt x="107" y="157"/>
                </a:lnTo>
                <a:lnTo>
                  <a:pt x="103" y="158"/>
                </a:lnTo>
                <a:lnTo>
                  <a:pt x="99" y="158"/>
                </a:lnTo>
                <a:lnTo>
                  <a:pt x="95" y="158"/>
                </a:lnTo>
                <a:lnTo>
                  <a:pt x="90" y="158"/>
                </a:lnTo>
                <a:lnTo>
                  <a:pt x="86" y="158"/>
                </a:lnTo>
                <a:lnTo>
                  <a:pt x="80" y="158"/>
                </a:lnTo>
                <a:lnTo>
                  <a:pt x="74" y="158"/>
                </a:lnTo>
                <a:lnTo>
                  <a:pt x="68" y="158"/>
                </a:lnTo>
                <a:lnTo>
                  <a:pt x="62" y="157"/>
                </a:lnTo>
                <a:lnTo>
                  <a:pt x="57" y="156"/>
                </a:lnTo>
                <a:lnTo>
                  <a:pt x="51" y="155"/>
                </a:lnTo>
                <a:lnTo>
                  <a:pt x="46" y="154"/>
                </a:lnTo>
                <a:lnTo>
                  <a:pt x="42" y="153"/>
                </a:lnTo>
                <a:lnTo>
                  <a:pt x="37" y="152"/>
                </a:lnTo>
                <a:lnTo>
                  <a:pt x="33" y="150"/>
                </a:lnTo>
                <a:lnTo>
                  <a:pt x="29" y="148"/>
                </a:lnTo>
                <a:lnTo>
                  <a:pt x="25" y="147"/>
                </a:lnTo>
                <a:lnTo>
                  <a:pt x="21" y="145"/>
                </a:lnTo>
                <a:lnTo>
                  <a:pt x="18" y="143"/>
                </a:lnTo>
                <a:lnTo>
                  <a:pt x="15" y="140"/>
                </a:lnTo>
                <a:lnTo>
                  <a:pt x="12" y="138"/>
                </a:lnTo>
                <a:lnTo>
                  <a:pt x="10" y="136"/>
                </a:lnTo>
                <a:lnTo>
                  <a:pt x="7" y="133"/>
                </a:lnTo>
                <a:lnTo>
                  <a:pt x="5" y="130"/>
                </a:lnTo>
                <a:lnTo>
                  <a:pt x="4" y="127"/>
                </a:lnTo>
                <a:lnTo>
                  <a:pt x="2" y="124"/>
                </a:lnTo>
                <a:lnTo>
                  <a:pt x="1" y="121"/>
                </a:lnTo>
                <a:lnTo>
                  <a:pt x="1" y="118"/>
                </a:lnTo>
                <a:lnTo>
                  <a:pt x="0" y="115"/>
                </a:lnTo>
                <a:lnTo>
                  <a:pt x="0" y="111"/>
                </a:lnTo>
                <a:lnTo>
                  <a:pt x="0" y="108"/>
                </a:lnTo>
                <a:lnTo>
                  <a:pt x="1" y="104"/>
                </a:lnTo>
                <a:lnTo>
                  <a:pt x="2" y="100"/>
                </a:lnTo>
                <a:lnTo>
                  <a:pt x="3" y="97"/>
                </a:lnTo>
                <a:lnTo>
                  <a:pt x="5" y="93"/>
                </a:lnTo>
                <a:lnTo>
                  <a:pt x="6" y="89"/>
                </a:lnTo>
                <a:lnTo>
                  <a:pt x="9" y="84"/>
                </a:lnTo>
                <a:lnTo>
                  <a:pt x="11" y="81"/>
                </a:lnTo>
                <a:lnTo>
                  <a:pt x="14" y="77"/>
                </a:lnTo>
                <a:lnTo>
                  <a:pt x="17" y="73"/>
                </a:lnTo>
                <a:lnTo>
                  <a:pt x="20" y="69"/>
                </a:lnTo>
                <a:lnTo>
                  <a:pt x="23" y="65"/>
                </a:lnTo>
                <a:lnTo>
                  <a:pt x="27" y="61"/>
                </a:lnTo>
                <a:lnTo>
                  <a:pt x="31" y="58"/>
                </a:lnTo>
                <a:lnTo>
                  <a:pt x="36" y="54"/>
                </a:lnTo>
                <a:lnTo>
                  <a:pt x="40" y="50"/>
                </a:lnTo>
                <a:lnTo>
                  <a:pt x="45" y="47"/>
                </a:lnTo>
                <a:lnTo>
                  <a:pt x="50" y="43"/>
                </a:lnTo>
                <a:lnTo>
                  <a:pt x="55" y="40"/>
                </a:lnTo>
                <a:lnTo>
                  <a:pt x="60" y="36"/>
                </a:lnTo>
                <a:lnTo>
                  <a:pt x="66" y="33"/>
                </a:lnTo>
                <a:lnTo>
                  <a:pt x="72" y="30"/>
                </a:lnTo>
                <a:lnTo>
                  <a:pt x="78" y="27"/>
                </a:lnTo>
                <a:lnTo>
                  <a:pt x="84" y="24"/>
                </a:lnTo>
                <a:lnTo>
                  <a:pt x="90" y="21"/>
                </a:lnTo>
                <a:lnTo>
                  <a:pt x="97" y="19"/>
                </a:lnTo>
                <a:lnTo>
                  <a:pt x="104" y="16"/>
                </a:lnTo>
                <a:lnTo>
                  <a:pt x="110" y="14"/>
                </a:lnTo>
                <a:lnTo>
                  <a:pt x="118" y="12"/>
                </a:lnTo>
                <a:lnTo>
                  <a:pt x="125" y="10"/>
                </a:lnTo>
                <a:lnTo>
                  <a:pt x="132" y="8"/>
                </a:lnTo>
                <a:lnTo>
                  <a:pt x="140" y="6"/>
                </a:lnTo>
                <a:lnTo>
                  <a:pt x="148" y="5"/>
                </a:lnTo>
                <a:lnTo>
                  <a:pt x="156" y="3"/>
                </a:lnTo>
                <a:lnTo>
                  <a:pt x="164" y="2"/>
                </a:lnTo>
                <a:lnTo>
                  <a:pt x="172" y="2"/>
                </a:lnTo>
                <a:lnTo>
                  <a:pt x="180" y="1"/>
                </a:lnTo>
                <a:lnTo>
                  <a:pt x="188" y="1"/>
                </a:lnTo>
                <a:lnTo>
                  <a:pt x="197" y="0"/>
                </a:lnTo>
                <a:lnTo>
                  <a:pt x="203" y="1"/>
                </a:lnTo>
                <a:lnTo>
                  <a:pt x="208" y="1"/>
                </a:lnTo>
                <a:lnTo>
                  <a:pt x="214" y="1"/>
                </a:lnTo>
                <a:lnTo>
                  <a:pt x="219" y="1"/>
                </a:lnTo>
                <a:lnTo>
                  <a:pt x="225" y="2"/>
                </a:lnTo>
                <a:lnTo>
                  <a:pt x="230" y="3"/>
                </a:lnTo>
                <a:lnTo>
                  <a:pt x="235" y="3"/>
                </a:lnTo>
                <a:lnTo>
                  <a:pt x="241" y="4"/>
                </a:lnTo>
                <a:lnTo>
                  <a:pt x="216" y="47"/>
                </a:lnTo>
                <a:lnTo>
                  <a:pt x="214" y="45"/>
                </a:lnTo>
                <a:lnTo>
                  <a:pt x="212" y="43"/>
                </a:lnTo>
                <a:lnTo>
                  <a:pt x="210" y="41"/>
                </a:lnTo>
                <a:lnTo>
                  <a:pt x="208" y="40"/>
                </a:lnTo>
                <a:lnTo>
                  <a:pt x="206" y="38"/>
                </a:lnTo>
                <a:lnTo>
                  <a:pt x="204" y="36"/>
                </a:lnTo>
                <a:lnTo>
                  <a:pt x="202" y="35"/>
                </a:lnTo>
                <a:lnTo>
                  <a:pt x="199" y="34"/>
                </a:lnTo>
                <a:lnTo>
                  <a:pt x="198" y="33"/>
                </a:lnTo>
                <a:lnTo>
                  <a:pt x="197" y="33"/>
                </a:lnTo>
                <a:lnTo>
                  <a:pt x="195" y="32"/>
                </a:lnTo>
                <a:lnTo>
                  <a:pt x="194" y="32"/>
                </a:lnTo>
                <a:lnTo>
                  <a:pt x="192" y="31"/>
                </a:lnTo>
                <a:lnTo>
                  <a:pt x="191" y="31"/>
                </a:lnTo>
                <a:lnTo>
                  <a:pt x="189" y="30"/>
                </a:lnTo>
                <a:lnTo>
                  <a:pt x="188" y="30"/>
                </a:lnTo>
                <a:lnTo>
                  <a:pt x="186" y="30"/>
                </a:lnTo>
                <a:lnTo>
                  <a:pt x="185" y="29"/>
                </a:lnTo>
                <a:lnTo>
                  <a:pt x="183" y="29"/>
                </a:lnTo>
                <a:lnTo>
                  <a:pt x="181" y="29"/>
                </a:lnTo>
                <a:lnTo>
                  <a:pt x="179" y="29"/>
                </a:lnTo>
                <a:lnTo>
                  <a:pt x="177" y="28"/>
                </a:lnTo>
                <a:lnTo>
                  <a:pt x="176" y="28"/>
                </a:lnTo>
                <a:lnTo>
                  <a:pt x="174" y="28"/>
                </a:lnTo>
                <a:lnTo>
                  <a:pt x="170" y="28"/>
                </a:lnTo>
                <a:lnTo>
                  <a:pt x="167" y="29"/>
                </a:lnTo>
                <a:lnTo>
                  <a:pt x="163" y="29"/>
                </a:lnTo>
                <a:lnTo>
                  <a:pt x="160" y="29"/>
                </a:lnTo>
                <a:lnTo>
                  <a:pt x="157" y="30"/>
                </a:lnTo>
                <a:lnTo>
                  <a:pt x="154" y="30"/>
                </a:lnTo>
                <a:lnTo>
                  <a:pt x="150" y="31"/>
                </a:lnTo>
                <a:lnTo>
                  <a:pt x="147" y="32"/>
                </a:lnTo>
                <a:lnTo>
                  <a:pt x="144" y="33"/>
                </a:lnTo>
                <a:lnTo>
                  <a:pt x="141" y="34"/>
                </a:lnTo>
                <a:lnTo>
                  <a:pt x="138" y="35"/>
                </a:lnTo>
                <a:lnTo>
                  <a:pt x="135" y="36"/>
                </a:lnTo>
                <a:lnTo>
                  <a:pt x="133" y="38"/>
                </a:lnTo>
                <a:lnTo>
                  <a:pt x="130" y="39"/>
                </a:lnTo>
                <a:lnTo>
                  <a:pt x="127" y="41"/>
                </a:lnTo>
                <a:lnTo>
                  <a:pt x="125" y="42"/>
                </a:lnTo>
                <a:lnTo>
                  <a:pt x="122" y="44"/>
                </a:lnTo>
                <a:lnTo>
                  <a:pt x="119" y="46"/>
                </a:lnTo>
                <a:lnTo>
                  <a:pt x="117" y="47"/>
                </a:lnTo>
                <a:lnTo>
                  <a:pt x="115" y="49"/>
                </a:lnTo>
                <a:lnTo>
                  <a:pt x="112" y="51"/>
                </a:lnTo>
                <a:lnTo>
                  <a:pt x="110" y="53"/>
                </a:lnTo>
                <a:lnTo>
                  <a:pt x="108" y="55"/>
                </a:lnTo>
                <a:lnTo>
                  <a:pt x="106" y="58"/>
                </a:lnTo>
                <a:lnTo>
                  <a:pt x="104" y="60"/>
                </a:lnTo>
                <a:lnTo>
                  <a:pt x="102" y="62"/>
                </a:lnTo>
                <a:lnTo>
                  <a:pt x="100" y="64"/>
                </a:lnTo>
                <a:lnTo>
                  <a:pt x="98" y="67"/>
                </a:lnTo>
                <a:lnTo>
                  <a:pt x="96" y="69"/>
                </a:lnTo>
                <a:lnTo>
                  <a:pt x="94" y="72"/>
                </a:lnTo>
                <a:lnTo>
                  <a:pt x="93" y="74"/>
                </a:lnTo>
                <a:lnTo>
                  <a:pt x="91" y="77"/>
                </a:lnTo>
                <a:lnTo>
                  <a:pt x="89" y="80"/>
                </a:lnTo>
                <a:lnTo>
                  <a:pt x="88" y="83"/>
                </a:lnTo>
                <a:lnTo>
                  <a:pt x="86" y="86"/>
                </a:lnTo>
                <a:lnTo>
                  <a:pt x="85" y="89"/>
                </a:lnTo>
                <a:lnTo>
                  <a:pt x="84" y="91"/>
                </a:lnTo>
                <a:lnTo>
                  <a:pt x="83" y="94"/>
                </a:lnTo>
                <a:lnTo>
                  <a:pt x="83" y="96"/>
                </a:lnTo>
                <a:lnTo>
                  <a:pt x="82" y="99"/>
                </a:lnTo>
                <a:lnTo>
                  <a:pt x="82" y="101"/>
                </a:lnTo>
                <a:lnTo>
                  <a:pt x="82" y="103"/>
                </a:lnTo>
                <a:lnTo>
                  <a:pt x="82" y="106"/>
                </a:lnTo>
                <a:lnTo>
                  <a:pt x="82" y="108"/>
                </a:lnTo>
                <a:lnTo>
                  <a:pt x="82" y="110"/>
                </a:lnTo>
                <a:lnTo>
                  <a:pt x="83" y="112"/>
                </a:lnTo>
                <a:lnTo>
                  <a:pt x="83" y="113"/>
                </a:lnTo>
                <a:lnTo>
                  <a:pt x="84" y="115"/>
                </a:lnTo>
                <a:lnTo>
                  <a:pt x="85" y="117"/>
                </a:lnTo>
                <a:lnTo>
                  <a:pt x="86" y="118"/>
                </a:lnTo>
                <a:lnTo>
                  <a:pt x="87" y="120"/>
                </a:lnTo>
                <a:lnTo>
                  <a:pt x="89" y="121"/>
                </a:lnTo>
                <a:lnTo>
                  <a:pt x="91" y="122"/>
                </a:lnTo>
                <a:lnTo>
                  <a:pt x="92" y="123"/>
                </a:lnTo>
                <a:lnTo>
                  <a:pt x="94" y="124"/>
                </a:lnTo>
                <a:lnTo>
                  <a:pt x="96" y="125"/>
                </a:lnTo>
                <a:lnTo>
                  <a:pt x="99" y="126"/>
                </a:lnTo>
                <a:lnTo>
                  <a:pt x="101" y="127"/>
                </a:lnTo>
                <a:lnTo>
                  <a:pt x="104" y="127"/>
                </a:lnTo>
                <a:lnTo>
                  <a:pt x="106" y="128"/>
                </a:lnTo>
                <a:lnTo>
                  <a:pt x="109" y="128"/>
                </a:lnTo>
                <a:lnTo>
                  <a:pt x="112" y="128"/>
                </a:lnTo>
                <a:lnTo>
                  <a:pt x="115" y="129"/>
                </a:lnTo>
                <a:lnTo>
                  <a:pt x="119" y="129"/>
                </a:lnTo>
                <a:lnTo>
                  <a:pt x="121" y="129"/>
                </a:lnTo>
                <a:lnTo>
                  <a:pt x="124" y="129"/>
                </a:lnTo>
                <a:lnTo>
                  <a:pt x="126" y="128"/>
                </a:lnTo>
                <a:lnTo>
                  <a:pt x="129" y="128"/>
                </a:lnTo>
                <a:lnTo>
                  <a:pt x="131" y="128"/>
                </a:lnTo>
                <a:lnTo>
                  <a:pt x="134" y="127"/>
                </a:lnTo>
                <a:lnTo>
                  <a:pt x="136" y="127"/>
                </a:lnTo>
                <a:lnTo>
                  <a:pt x="138" y="126"/>
                </a:lnTo>
                <a:lnTo>
                  <a:pt x="141" y="126"/>
                </a:lnTo>
                <a:lnTo>
                  <a:pt x="143" y="125"/>
                </a:lnTo>
                <a:lnTo>
                  <a:pt x="145" y="125"/>
                </a:lnTo>
                <a:lnTo>
                  <a:pt x="148" y="124"/>
                </a:lnTo>
                <a:lnTo>
                  <a:pt x="152" y="122"/>
                </a:lnTo>
                <a:lnTo>
                  <a:pt x="156" y="121"/>
                </a:lnTo>
                <a:lnTo>
                  <a:pt x="160" y="119"/>
                </a:lnTo>
                <a:lnTo>
                  <a:pt x="164" y="118"/>
                </a:lnTo>
                <a:lnTo>
                  <a:pt x="167" y="116"/>
                </a:lnTo>
                <a:lnTo>
                  <a:pt x="170" y="115"/>
                </a:lnTo>
                <a:lnTo>
                  <a:pt x="173" y="114"/>
                </a:lnTo>
                <a:lnTo>
                  <a:pt x="175" y="112"/>
                </a:lnTo>
                <a:lnTo>
                  <a:pt x="177" y="111"/>
                </a:lnTo>
                <a:lnTo>
                  <a:pt x="178" y="111"/>
                </a:lnTo>
                <a:lnTo>
                  <a:pt x="157" y="147"/>
                </a:lnTo>
                <a:close/>
              </a:path>
            </a:pathLst>
          </a:custGeom>
          <a:solidFill>
            <a:srgbClr val="00593C"/>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303862" name="Freeform 5">
            <a:extLst>
              <a:ext uri="{FF2B5EF4-FFF2-40B4-BE49-F238E27FC236}">
                <a16:creationId xmlns:a16="http://schemas.microsoft.com/office/drawing/2014/main" id="{4EEFF704-72C7-4963-90DF-92639840DAA3}"/>
              </a:ext>
            </a:extLst>
          </xdr:cNvPr>
          <xdr:cNvSpPr>
            <a:spLocks/>
          </xdr:cNvSpPr>
        </xdr:nvSpPr>
        <xdr:spPr bwMode="auto">
          <a:xfrm>
            <a:off x="678" y="1603"/>
            <a:ext cx="151" cy="150"/>
          </a:xfrm>
          <a:custGeom>
            <a:avLst/>
            <a:gdLst>
              <a:gd name="T0" fmla="*/ 2 w 185"/>
              <a:gd name="T1" fmla="*/ 0 h 152"/>
              <a:gd name="T2" fmla="*/ 2 w 185"/>
              <a:gd name="T3" fmla="*/ 0 h 152"/>
              <a:gd name="T4" fmla="*/ 2 w 185"/>
              <a:gd name="T5" fmla="*/ 38 h 152"/>
              <a:gd name="T6" fmla="*/ 2 w 185"/>
              <a:gd name="T7" fmla="*/ 38 h 152"/>
              <a:gd name="T8" fmla="*/ 2 w 185"/>
              <a:gd name="T9" fmla="*/ 38 h 152"/>
              <a:gd name="T10" fmla="*/ 2 w 185"/>
              <a:gd name="T11" fmla="*/ 38 h 152"/>
              <a:gd name="T12" fmla="*/ 2 w 185"/>
              <a:gd name="T13" fmla="*/ 38 h 152"/>
              <a:gd name="T14" fmla="*/ 2 w 185"/>
              <a:gd name="T15" fmla="*/ 38 h 152"/>
              <a:gd name="T16" fmla="*/ 2 w 185"/>
              <a:gd name="T17" fmla="*/ 38 h 152"/>
              <a:gd name="T18" fmla="*/ 2 w 185"/>
              <a:gd name="T19" fmla="*/ 38 h 152"/>
              <a:gd name="T20" fmla="*/ 2 w 185"/>
              <a:gd name="T21" fmla="*/ 38 h 152"/>
              <a:gd name="T22" fmla="*/ 2 w 185"/>
              <a:gd name="T23" fmla="*/ 38 h 152"/>
              <a:gd name="T24" fmla="*/ 2 w 185"/>
              <a:gd name="T25" fmla="*/ 38 h 152"/>
              <a:gd name="T26" fmla="*/ 2 w 185"/>
              <a:gd name="T27" fmla="*/ 38 h 152"/>
              <a:gd name="T28" fmla="*/ 2 w 185"/>
              <a:gd name="T29" fmla="*/ 38 h 152"/>
              <a:gd name="T30" fmla="*/ 2 w 185"/>
              <a:gd name="T31" fmla="*/ 38 h 152"/>
              <a:gd name="T32" fmla="*/ 2 w 185"/>
              <a:gd name="T33" fmla="*/ 38 h 152"/>
              <a:gd name="T34" fmla="*/ 2 w 185"/>
              <a:gd name="T35" fmla="*/ 38 h 152"/>
              <a:gd name="T36" fmla="*/ 2 w 185"/>
              <a:gd name="T37" fmla="*/ 38 h 152"/>
              <a:gd name="T38" fmla="*/ 2 w 185"/>
              <a:gd name="T39" fmla="*/ 38 h 152"/>
              <a:gd name="T40" fmla="*/ 2 w 185"/>
              <a:gd name="T41" fmla="*/ 38 h 152"/>
              <a:gd name="T42" fmla="*/ 0 w 185"/>
              <a:gd name="T43" fmla="*/ 38 h 152"/>
              <a:gd name="T44" fmla="*/ 2 w 185"/>
              <a:gd name="T45" fmla="*/ 0 h 152"/>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w 185"/>
              <a:gd name="T70" fmla="*/ 0 h 152"/>
              <a:gd name="T71" fmla="*/ 185 w 185"/>
              <a:gd name="T72" fmla="*/ 152 h 152"/>
            </a:gdLst>
            <a:ahLst/>
            <a:cxnLst>
              <a:cxn ang="T46">
                <a:pos x="T0" y="T1"/>
              </a:cxn>
              <a:cxn ang="T47">
                <a:pos x="T2" y="T3"/>
              </a:cxn>
              <a:cxn ang="T48">
                <a:pos x="T4" y="T5"/>
              </a:cxn>
              <a:cxn ang="T49">
                <a:pos x="T6" y="T7"/>
              </a:cxn>
              <a:cxn ang="T50">
                <a:pos x="T8" y="T9"/>
              </a:cxn>
              <a:cxn ang="T51">
                <a:pos x="T10" y="T11"/>
              </a:cxn>
              <a:cxn ang="T52">
                <a:pos x="T12" y="T13"/>
              </a:cxn>
              <a:cxn ang="T53">
                <a:pos x="T14" y="T15"/>
              </a:cxn>
              <a:cxn ang="T54">
                <a:pos x="T16" y="T17"/>
              </a:cxn>
              <a:cxn ang="T55">
                <a:pos x="T18" y="T19"/>
              </a:cxn>
              <a:cxn ang="T56">
                <a:pos x="T20" y="T21"/>
              </a:cxn>
              <a:cxn ang="T57">
                <a:pos x="T22" y="T23"/>
              </a:cxn>
              <a:cxn ang="T58">
                <a:pos x="T24" y="T25"/>
              </a:cxn>
              <a:cxn ang="T59">
                <a:pos x="T26" y="T27"/>
              </a:cxn>
              <a:cxn ang="T60">
                <a:pos x="T28" y="T29"/>
              </a:cxn>
              <a:cxn ang="T61">
                <a:pos x="T30" y="T31"/>
              </a:cxn>
              <a:cxn ang="T62">
                <a:pos x="T32" y="T33"/>
              </a:cxn>
              <a:cxn ang="T63">
                <a:pos x="T34" y="T35"/>
              </a:cxn>
              <a:cxn ang="T64">
                <a:pos x="T36" y="T37"/>
              </a:cxn>
              <a:cxn ang="T65">
                <a:pos x="T38" y="T39"/>
              </a:cxn>
              <a:cxn ang="T66">
                <a:pos x="T40" y="T41"/>
              </a:cxn>
              <a:cxn ang="T67">
                <a:pos x="T42" y="T43"/>
              </a:cxn>
              <a:cxn ang="T68">
                <a:pos x="T44" y="T45"/>
              </a:cxn>
            </a:cxnLst>
            <a:rect l="T69" t="T70" r="T71" b="T72"/>
            <a:pathLst>
              <a:path w="185" h="152">
                <a:moveTo>
                  <a:pt x="90" y="0"/>
                </a:moveTo>
                <a:lnTo>
                  <a:pt x="169" y="0"/>
                </a:lnTo>
                <a:lnTo>
                  <a:pt x="96" y="123"/>
                </a:lnTo>
                <a:lnTo>
                  <a:pt x="123" y="123"/>
                </a:lnTo>
                <a:lnTo>
                  <a:pt x="128" y="123"/>
                </a:lnTo>
                <a:lnTo>
                  <a:pt x="132" y="123"/>
                </a:lnTo>
                <a:lnTo>
                  <a:pt x="136" y="123"/>
                </a:lnTo>
                <a:lnTo>
                  <a:pt x="139" y="123"/>
                </a:lnTo>
                <a:lnTo>
                  <a:pt x="143" y="123"/>
                </a:lnTo>
                <a:lnTo>
                  <a:pt x="147" y="123"/>
                </a:lnTo>
                <a:lnTo>
                  <a:pt x="150" y="123"/>
                </a:lnTo>
                <a:lnTo>
                  <a:pt x="154" y="122"/>
                </a:lnTo>
                <a:lnTo>
                  <a:pt x="157" y="122"/>
                </a:lnTo>
                <a:lnTo>
                  <a:pt x="161" y="122"/>
                </a:lnTo>
                <a:lnTo>
                  <a:pt x="165" y="122"/>
                </a:lnTo>
                <a:lnTo>
                  <a:pt x="168" y="121"/>
                </a:lnTo>
                <a:lnTo>
                  <a:pt x="172" y="121"/>
                </a:lnTo>
                <a:lnTo>
                  <a:pt x="176" y="121"/>
                </a:lnTo>
                <a:lnTo>
                  <a:pt x="181" y="120"/>
                </a:lnTo>
                <a:lnTo>
                  <a:pt x="185" y="120"/>
                </a:lnTo>
                <a:lnTo>
                  <a:pt x="166" y="152"/>
                </a:lnTo>
                <a:lnTo>
                  <a:pt x="0" y="152"/>
                </a:lnTo>
                <a:lnTo>
                  <a:pt x="90" y="0"/>
                </a:lnTo>
                <a:close/>
              </a:path>
            </a:pathLst>
          </a:custGeom>
          <a:solidFill>
            <a:srgbClr val="00593C"/>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303863" name="Freeform 6">
            <a:extLst>
              <a:ext uri="{FF2B5EF4-FFF2-40B4-BE49-F238E27FC236}">
                <a16:creationId xmlns:a16="http://schemas.microsoft.com/office/drawing/2014/main" id="{CD79BF72-085B-46D3-AA0C-8D15D609E440}"/>
              </a:ext>
            </a:extLst>
          </xdr:cNvPr>
          <xdr:cNvSpPr>
            <a:spLocks/>
          </xdr:cNvSpPr>
        </xdr:nvSpPr>
        <xdr:spPr bwMode="auto">
          <a:xfrm>
            <a:off x="527" y="1598"/>
            <a:ext cx="197" cy="156"/>
          </a:xfrm>
          <a:custGeom>
            <a:avLst/>
            <a:gdLst>
              <a:gd name="T0" fmla="*/ 2 w 241"/>
              <a:gd name="T1" fmla="*/ 39 h 158"/>
              <a:gd name="T2" fmla="*/ 2 w 241"/>
              <a:gd name="T3" fmla="*/ 39 h 158"/>
              <a:gd name="T4" fmla="*/ 2 w 241"/>
              <a:gd name="T5" fmla="*/ 39 h 158"/>
              <a:gd name="T6" fmla="*/ 2 w 241"/>
              <a:gd name="T7" fmla="*/ 39 h 158"/>
              <a:gd name="T8" fmla="*/ 2 w 241"/>
              <a:gd name="T9" fmla="*/ 39 h 158"/>
              <a:gd name="T10" fmla="*/ 2 w 241"/>
              <a:gd name="T11" fmla="*/ 39 h 158"/>
              <a:gd name="T12" fmla="*/ 2 w 241"/>
              <a:gd name="T13" fmla="*/ 39 h 158"/>
              <a:gd name="T14" fmla="*/ 2 w 241"/>
              <a:gd name="T15" fmla="*/ 39 h 158"/>
              <a:gd name="T16" fmla="*/ 2 w 241"/>
              <a:gd name="T17" fmla="*/ 39 h 158"/>
              <a:gd name="T18" fmla="*/ 2 w 241"/>
              <a:gd name="T19" fmla="*/ 39 h 158"/>
              <a:gd name="T20" fmla="*/ 2 w 241"/>
              <a:gd name="T21" fmla="*/ 39 h 158"/>
              <a:gd name="T22" fmla="*/ 2 w 241"/>
              <a:gd name="T23" fmla="*/ 39 h 158"/>
              <a:gd name="T24" fmla="*/ 2 w 241"/>
              <a:gd name="T25" fmla="*/ 39 h 158"/>
              <a:gd name="T26" fmla="*/ 2 w 241"/>
              <a:gd name="T27" fmla="*/ 39 h 158"/>
              <a:gd name="T28" fmla="*/ 2 w 241"/>
              <a:gd name="T29" fmla="*/ 39 h 158"/>
              <a:gd name="T30" fmla="*/ 2 w 241"/>
              <a:gd name="T31" fmla="*/ 39 h 158"/>
              <a:gd name="T32" fmla="*/ 2 w 241"/>
              <a:gd name="T33" fmla="*/ 39 h 158"/>
              <a:gd name="T34" fmla="*/ 2 w 241"/>
              <a:gd name="T35" fmla="*/ 39 h 158"/>
              <a:gd name="T36" fmla="*/ 2 w 241"/>
              <a:gd name="T37" fmla="*/ 39 h 158"/>
              <a:gd name="T38" fmla="*/ 2 w 241"/>
              <a:gd name="T39" fmla="*/ 39 h 158"/>
              <a:gd name="T40" fmla="*/ 2 w 241"/>
              <a:gd name="T41" fmla="*/ 39 h 158"/>
              <a:gd name="T42" fmla="*/ 2 w 241"/>
              <a:gd name="T43" fmla="*/ 39 h 158"/>
              <a:gd name="T44" fmla="*/ 2 w 241"/>
              <a:gd name="T45" fmla="*/ 39 h 158"/>
              <a:gd name="T46" fmla="*/ 2 w 241"/>
              <a:gd name="T47" fmla="*/ 39 h 158"/>
              <a:gd name="T48" fmla="*/ 2 w 241"/>
              <a:gd name="T49" fmla="*/ 39 h 158"/>
              <a:gd name="T50" fmla="*/ 2 w 241"/>
              <a:gd name="T51" fmla="*/ 39 h 158"/>
              <a:gd name="T52" fmla="*/ 2 w 241"/>
              <a:gd name="T53" fmla="*/ 25 h 158"/>
              <a:gd name="T54" fmla="*/ 2 w 241"/>
              <a:gd name="T55" fmla="*/ 12 h 158"/>
              <a:gd name="T56" fmla="*/ 2 w 241"/>
              <a:gd name="T57" fmla="*/ 4 h 158"/>
              <a:gd name="T58" fmla="*/ 2 w 241"/>
              <a:gd name="T59" fmla="*/ 1 h 158"/>
              <a:gd name="T60" fmla="*/ 2 w 241"/>
              <a:gd name="T61" fmla="*/ 1 h 158"/>
              <a:gd name="T62" fmla="*/ 2 w 241"/>
              <a:gd name="T63" fmla="*/ 6 h 158"/>
              <a:gd name="T64" fmla="*/ 2 w 241"/>
              <a:gd name="T65" fmla="*/ 39 h 158"/>
              <a:gd name="T66" fmla="*/ 2 w 241"/>
              <a:gd name="T67" fmla="*/ 33 h 158"/>
              <a:gd name="T68" fmla="*/ 2 w 241"/>
              <a:gd name="T69" fmla="*/ 29 h 158"/>
              <a:gd name="T70" fmla="*/ 2 w 241"/>
              <a:gd name="T71" fmla="*/ 30 h 158"/>
              <a:gd name="T72" fmla="*/ 2 w 241"/>
              <a:gd name="T73" fmla="*/ 33 h 158"/>
              <a:gd name="T74" fmla="*/ 2 w 241"/>
              <a:gd name="T75" fmla="*/ 37 h 158"/>
              <a:gd name="T76" fmla="*/ 2 w 241"/>
              <a:gd name="T77" fmla="*/ 39 h 158"/>
              <a:gd name="T78" fmla="*/ 2 w 241"/>
              <a:gd name="T79" fmla="*/ 39 h 158"/>
              <a:gd name="T80" fmla="*/ 2 w 241"/>
              <a:gd name="T81" fmla="*/ 39 h 158"/>
              <a:gd name="T82" fmla="*/ 2 w 241"/>
              <a:gd name="T83" fmla="*/ 39 h 158"/>
              <a:gd name="T84" fmla="*/ 2 w 241"/>
              <a:gd name="T85" fmla="*/ 39 h 158"/>
              <a:gd name="T86" fmla="*/ 2 w 241"/>
              <a:gd name="T87" fmla="*/ 39 h 158"/>
              <a:gd name="T88" fmla="*/ 2 w 241"/>
              <a:gd name="T89" fmla="*/ 39 h 158"/>
              <a:gd name="T90" fmla="*/ 2 w 241"/>
              <a:gd name="T91" fmla="*/ 39 h 158"/>
              <a:gd name="T92" fmla="*/ 2 w 241"/>
              <a:gd name="T93" fmla="*/ 39 h 158"/>
              <a:gd name="T94" fmla="*/ 2 w 241"/>
              <a:gd name="T95" fmla="*/ 39 h 158"/>
              <a:gd name="T96" fmla="*/ 2 w 241"/>
              <a:gd name="T97" fmla="*/ 39 h 158"/>
              <a:gd name="T98" fmla="*/ 2 w 241"/>
              <a:gd name="T99" fmla="*/ 39 h 158"/>
              <a:gd name="T100" fmla="*/ 2 w 241"/>
              <a:gd name="T101" fmla="*/ 39 h 158"/>
              <a:gd name="T102" fmla="*/ 2 w 241"/>
              <a:gd name="T103" fmla="*/ 39 h 158"/>
              <a:gd name="T104" fmla="*/ 2 w 241"/>
              <a:gd name="T105" fmla="*/ 39 h 158"/>
              <a:gd name="T106" fmla="*/ 2 w 241"/>
              <a:gd name="T107" fmla="*/ 39 h 158"/>
              <a:gd name="T108" fmla="*/ 2 w 241"/>
              <a:gd name="T109" fmla="*/ 39 h 158"/>
              <a:gd name="T110" fmla="*/ 2 w 241"/>
              <a:gd name="T111" fmla="*/ 39 h 158"/>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w 241"/>
              <a:gd name="T169" fmla="*/ 0 h 158"/>
              <a:gd name="T170" fmla="*/ 241 w 241"/>
              <a:gd name="T171" fmla="*/ 158 h 158"/>
            </a:gdLst>
            <a:ahLst/>
            <a:cxnLst>
              <a:cxn ang="T112">
                <a:pos x="T0" y="T1"/>
              </a:cxn>
              <a:cxn ang="T113">
                <a:pos x="T2" y="T3"/>
              </a:cxn>
              <a:cxn ang="T114">
                <a:pos x="T4" y="T5"/>
              </a:cxn>
              <a:cxn ang="T115">
                <a:pos x="T6" y="T7"/>
              </a:cxn>
              <a:cxn ang="T116">
                <a:pos x="T8" y="T9"/>
              </a:cxn>
              <a:cxn ang="T117">
                <a:pos x="T10" y="T11"/>
              </a:cxn>
              <a:cxn ang="T118">
                <a:pos x="T12" y="T13"/>
              </a:cxn>
              <a:cxn ang="T119">
                <a:pos x="T14" y="T15"/>
              </a:cxn>
              <a:cxn ang="T120">
                <a:pos x="T16" y="T17"/>
              </a:cxn>
              <a:cxn ang="T121">
                <a:pos x="T18" y="T19"/>
              </a:cxn>
              <a:cxn ang="T122">
                <a:pos x="T20" y="T21"/>
              </a:cxn>
              <a:cxn ang="T123">
                <a:pos x="T22" y="T23"/>
              </a:cxn>
              <a:cxn ang="T124">
                <a:pos x="T24" y="T25"/>
              </a:cxn>
              <a:cxn ang="T125">
                <a:pos x="T26" y="T27"/>
              </a:cxn>
              <a:cxn ang="T126">
                <a:pos x="T28" y="T29"/>
              </a:cxn>
              <a:cxn ang="T127">
                <a:pos x="T30" y="T31"/>
              </a:cxn>
              <a:cxn ang="T128">
                <a:pos x="T32" y="T33"/>
              </a:cxn>
              <a:cxn ang="T129">
                <a:pos x="T34" y="T35"/>
              </a:cxn>
              <a:cxn ang="T130">
                <a:pos x="T36" y="T37"/>
              </a:cxn>
              <a:cxn ang="T131">
                <a:pos x="T38" y="T39"/>
              </a:cxn>
              <a:cxn ang="T132">
                <a:pos x="T40" y="T41"/>
              </a:cxn>
              <a:cxn ang="T133">
                <a:pos x="T42" y="T43"/>
              </a:cxn>
              <a:cxn ang="T134">
                <a:pos x="T44" y="T45"/>
              </a:cxn>
              <a:cxn ang="T135">
                <a:pos x="T46" y="T47"/>
              </a:cxn>
              <a:cxn ang="T136">
                <a:pos x="T48" y="T49"/>
              </a:cxn>
              <a:cxn ang="T137">
                <a:pos x="T50" y="T51"/>
              </a:cxn>
              <a:cxn ang="T138">
                <a:pos x="T52" y="T53"/>
              </a:cxn>
              <a:cxn ang="T139">
                <a:pos x="T54" y="T55"/>
              </a:cxn>
              <a:cxn ang="T140">
                <a:pos x="T56" y="T57"/>
              </a:cxn>
              <a:cxn ang="T141">
                <a:pos x="T58" y="T59"/>
              </a:cxn>
              <a:cxn ang="T142">
                <a:pos x="T60" y="T61"/>
              </a:cxn>
              <a:cxn ang="T143">
                <a:pos x="T62" y="T63"/>
              </a:cxn>
              <a:cxn ang="T144">
                <a:pos x="T64" y="T65"/>
              </a:cxn>
              <a:cxn ang="T145">
                <a:pos x="T66" y="T67"/>
              </a:cxn>
              <a:cxn ang="T146">
                <a:pos x="T68" y="T69"/>
              </a:cxn>
              <a:cxn ang="T147">
                <a:pos x="T70" y="T71"/>
              </a:cxn>
              <a:cxn ang="T148">
                <a:pos x="T72" y="T73"/>
              </a:cxn>
              <a:cxn ang="T149">
                <a:pos x="T74" y="T75"/>
              </a:cxn>
              <a:cxn ang="T150">
                <a:pos x="T76" y="T77"/>
              </a:cxn>
              <a:cxn ang="T151">
                <a:pos x="T78" y="T79"/>
              </a:cxn>
              <a:cxn ang="T152">
                <a:pos x="T80" y="T81"/>
              </a:cxn>
              <a:cxn ang="T153">
                <a:pos x="T82" y="T83"/>
              </a:cxn>
              <a:cxn ang="T154">
                <a:pos x="T84" y="T85"/>
              </a:cxn>
              <a:cxn ang="T155">
                <a:pos x="T86" y="T87"/>
              </a:cxn>
              <a:cxn ang="T156">
                <a:pos x="T88" y="T89"/>
              </a:cxn>
              <a:cxn ang="T157">
                <a:pos x="T90" y="T91"/>
              </a:cxn>
              <a:cxn ang="T158">
                <a:pos x="T92" y="T93"/>
              </a:cxn>
              <a:cxn ang="T159">
                <a:pos x="T94" y="T95"/>
              </a:cxn>
              <a:cxn ang="T160">
                <a:pos x="T96" y="T97"/>
              </a:cxn>
              <a:cxn ang="T161">
                <a:pos x="T98" y="T99"/>
              </a:cxn>
              <a:cxn ang="T162">
                <a:pos x="T100" y="T101"/>
              </a:cxn>
              <a:cxn ang="T163">
                <a:pos x="T102" y="T103"/>
              </a:cxn>
              <a:cxn ang="T164">
                <a:pos x="T104" y="T105"/>
              </a:cxn>
              <a:cxn ang="T165">
                <a:pos x="T106" y="T107"/>
              </a:cxn>
              <a:cxn ang="T166">
                <a:pos x="T108" y="T109"/>
              </a:cxn>
              <a:cxn ang="T167">
                <a:pos x="T110" y="T111"/>
              </a:cxn>
            </a:cxnLst>
            <a:rect l="T168" t="T169" r="T170" b="T171"/>
            <a:pathLst>
              <a:path w="241" h="158">
                <a:moveTo>
                  <a:pt x="70" y="158"/>
                </a:moveTo>
                <a:lnTo>
                  <a:pt x="65" y="158"/>
                </a:lnTo>
                <a:lnTo>
                  <a:pt x="61" y="158"/>
                </a:lnTo>
                <a:lnTo>
                  <a:pt x="56" y="158"/>
                </a:lnTo>
                <a:lnTo>
                  <a:pt x="51" y="158"/>
                </a:lnTo>
                <a:lnTo>
                  <a:pt x="47" y="157"/>
                </a:lnTo>
                <a:lnTo>
                  <a:pt x="42" y="157"/>
                </a:lnTo>
                <a:lnTo>
                  <a:pt x="38" y="157"/>
                </a:lnTo>
                <a:lnTo>
                  <a:pt x="33" y="156"/>
                </a:lnTo>
                <a:lnTo>
                  <a:pt x="29" y="155"/>
                </a:lnTo>
                <a:lnTo>
                  <a:pt x="24" y="155"/>
                </a:lnTo>
                <a:lnTo>
                  <a:pt x="20" y="154"/>
                </a:lnTo>
                <a:lnTo>
                  <a:pt x="16" y="153"/>
                </a:lnTo>
                <a:lnTo>
                  <a:pt x="11" y="152"/>
                </a:lnTo>
                <a:lnTo>
                  <a:pt x="7" y="151"/>
                </a:lnTo>
                <a:lnTo>
                  <a:pt x="3" y="150"/>
                </a:lnTo>
                <a:lnTo>
                  <a:pt x="0" y="149"/>
                </a:lnTo>
                <a:lnTo>
                  <a:pt x="22" y="111"/>
                </a:lnTo>
                <a:lnTo>
                  <a:pt x="24" y="112"/>
                </a:lnTo>
                <a:lnTo>
                  <a:pt x="25" y="113"/>
                </a:lnTo>
                <a:lnTo>
                  <a:pt x="27" y="114"/>
                </a:lnTo>
                <a:lnTo>
                  <a:pt x="28" y="115"/>
                </a:lnTo>
                <a:lnTo>
                  <a:pt x="30" y="116"/>
                </a:lnTo>
                <a:lnTo>
                  <a:pt x="32" y="117"/>
                </a:lnTo>
                <a:lnTo>
                  <a:pt x="33" y="118"/>
                </a:lnTo>
                <a:lnTo>
                  <a:pt x="35" y="118"/>
                </a:lnTo>
                <a:lnTo>
                  <a:pt x="37" y="119"/>
                </a:lnTo>
                <a:lnTo>
                  <a:pt x="39" y="120"/>
                </a:lnTo>
                <a:lnTo>
                  <a:pt x="40" y="121"/>
                </a:lnTo>
                <a:lnTo>
                  <a:pt x="42" y="121"/>
                </a:lnTo>
                <a:lnTo>
                  <a:pt x="44" y="122"/>
                </a:lnTo>
                <a:lnTo>
                  <a:pt x="46" y="123"/>
                </a:lnTo>
                <a:lnTo>
                  <a:pt x="48" y="123"/>
                </a:lnTo>
                <a:lnTo>
                  <a:pt x="50" y="124"/>
                </a:lnTo>
                <a:lnTo>
                  <a:pt x="52" y="125"/>
                </a:lnTo>
                <a:lnTo>
                  <a:pt x="54" y="125"/>
                </a:lnTo>
                <a:lnTo>
                  <a:pt x="57" y="126"/>
                </a:lnTo>
                <a:lnTo>
                  <a:pt x="59" y="126"/>
                </a:lnTo>
                <a:lnTo>
                  <a:pt x="61" y="126"/>
                </a:lnTo>
                <a:lnTo>
                  <a:pt x="63" y="127"/>
                </a:lnTo>
                <a:lnTo>
                  <a:pt x="66" y="127"/>
                </a:lnTo>
                <a:lnTo>
                  <a:pt x="68" y="127"/>
                </a:lnTo>
                <a:lnTo>
                  <a:pt x="73" y="128"/>
                </a:lnTo>
                <a:lnTo>
                  <a:pt x="77" y="128"/>
                </a:lnTo>
                <a:lnTo>
                  <a:pt x="82" y="129"/>
                </a:lnTo>
                <a:lnTo>
                  <a:pt x="87" y="129"/>
                </a:lnTo>
                <a:lnTo>
                  <a:pt x="91" y="129"/>
                </a:lnTo>
                <a:lnTo>
                  <a:pt x="95" y="128"/>
                </a:lnTo>
                <a:lnTo>
                  <a:pt x="99" y="128"/>
                </a:lnTo>
                <a:lnTo>
                  <a:pt x="102" y="128"/>
                </a:lnTo>
                <a:lnTo>
                  <a:pt x="106" y="127"/>
                </a:lnTo>
                <a:lnTo>
                  <a:pt x="109" y="126"/>
                </a:lnTo>
                <a:lnTo>
                  <a:pt x="112" y="125"/>
                </a:lnTo>
                <a:lnTo>
                  <a:pt x="115" y="125"/>
                </a:lnTo>
                <a:lnTo>
                  <a:pt x="117" y="124"/>
                </a:lnTo>
                <a:lnTo>
                  <a:pt x="120" y="123"/>
                </a:lnTo>
                <a:lnTo>
                  <a:pt x="122" y="121"/>
                </a:lnTo>
                <a:lnTo>
                  <a:pt x="124" y="120"/>
                </a:lnTo>
                <a:lnTo>
                  <a:pt x="125" y="119"/>
                </a:lnTo>
                <a:lnTo>
                  <a:pt x="126" y="119"/>
                </a:lnTo>
                <a:lnTo>
                  <a:pt x="127" y="118"/>
                </a:lnTo>
                <a:lnTo>
                  <a:pt x="127" y="117"/>
                </a:lnTo>
                <a:lnTo>
                  <a:pt x="128" y="117"/>
                </a:lnTo>
                <a:lnTo>
                  <a:pt x="128" y="116"/>
                </a:lnTo>
                <a:lnTo>
                  <a:pt x="129" y="115"/>
                </a:lnTo>
                <a:lnTo>
                  <a:pt x="129" y="114"/>
                </a:lnTo>
                <a:lnTo>
                  <a:pt x="130" y="113"/>
                </a:lnTo>
                <a:lnTo>
                  <a:pt x="130" y="112"/>
                </a:lnTo>
                <a:lnTo>
                  <a:pt x="130" y="111"/>
                </a:lnTo>
                <a:lnTo>
                  <a:pt x="130" y="110"/>
                </a:lnTo>
                <a:lnTo>
                  <a:pt x="129" y="109"/>
                </a:lnTo>
                <a:lnTo>
                  <a:pt x="129" y="108"/>
                </a:lnTo>
                <a:lnTo>
                  <a:pt x="128" y="108"/>
                </a:lnTo>
                <a:lnTo>
                  <a:pt x="128" y="107"/>
                </a:lnTo>
                <a:lnTo>
                  <a:pt x="127" y="107"/>
                </a:lnTo>
                <a:lnTo>
                  <a:pt x="127" y="106"/>
                </a:lnTo>
                <a:lnTo>
                  <a:pt x="126" y="106"/>
                </a:lnTo>
                <a:lnTo>
                  <a:pt x="125" y="105"/>
                </a:lnTo>
                <a:lnTo>
                  <a:pt x="124" y="104"/>
                </a:lnTo>
                <a:lnTo>
                  <a:pt x="122" y="104"/>
                </a:lnTo>
                <a:lnTo>
                  <a:pt x="121" y="103"/>
                </a:lnTo>
                <a:lnTo>
                  <a:pt x="119" y="102"/>
                </a:lnTo>
                <a:lnTo>
                  <a:pt x="116" y="101"/>
                </a:lnTo>
                <a:lnTo>
                  <a:pt x="113" y="100"/>
                </a:lnTo>
                <a:lnTo>
                  <a:pt x="111" y="99"/>
                </a:lnTo>
                <a:lnTo>
                  <a:pt x="109" y="99"/>
                </a:lnTo>
                <a:lnTo>
                  <a:pt x="107" y="98"/>
                </a:lnTo>
                <a:lnTo>
                  <a:pt x="105" y="97"/>
                </a:lnTo>
                <a:lnTo>
                  <a:pt x="102" y="97"/>
                </a:lnTo>
                <a:lnTo>
                  <a:pt x="100" y="96"/>
                </a:lnTo>
                <a:lnTo>
                  <a:pt x="97" y="95"/>
                </a:lnTo>
                <a:lnTo>
                  <a:pt x="95" y="94"/>
                </a:lnTo>
                <a:lnTo>
                  <a:pt x="92" y="93"/>
                </a:lnTo>
                <a:lnTo>
                  <a:pt x="89" y="92"/>
                </a:lnTo>
                <a:lnTo>
                  <a:pt x="86" y="91"/>
                </a:lnTo>
                <a:lnTo>
                  <a:pt x="84" y="90"/>
                </a:lnTo>
                <a:lnTo>
                  <a:pt x="81" y="89"/>
                </a:lnTo>
                <a:lnTo>
                  <a:pt x="79" y="88"/>
                </a:lnTo>
                <a:lnTo>
                  <a:pt x="76" y="87"/>
                </a:lnTo>
                <a:lnTo>
                  <a:pt x="74" y="86"/>
                </a:lnTo>
                <a:lnTo>
                  <a:pt x="72" y="85"/>
                </a:lnTo>
                <a:lnTo>
                  <a:pt x="70" y="84"/>
                </a:lnTo>
                <a:lnTo>
                  <a:pt x="68" y="83"/>
                </a:lnTo>
                <a:lnTo>
                  <a:pt x="66" y="82"/>
                </a:lnTo>
                <a:lnTo>
                  <a:pt x="65" y="81"/>
                </a:lnTo>
                <a:lnTo>
                  <a:pt x="63" y="80"/>
                </a:lnTo>
                <a:lnTo>
                  <a:pt x="62" y="78"/>
                </a:lnTo>
                <a:lnTo>
                  <a:pt x="60" y="77"/>
                </a:lnTo>
                <a:lnTo>
                  <a:pt x="59" y="76"/>
                </a:lnTo>
                <a:lnTo>
                  <a:pt x="58" y="74"/>
                </a:lnTo>
                <a:lnTo>
                  <a:pt x="57" y="73"/>
                </a:lnTo>
                <a:lnTo>
                  <a:pt x="56" y="71"/>
                </a:lnTo>
                <a:lnTo>
                  <a:pt x="56" y="70"/>
                </a:lnTo>
                <a:lnTo>
                  <a:pt x="55" y="68"/>
                </a:lnTo>
                <a:lnTo>
                  <a:pt x="55" y="67"/>
                </a:lnTo>
                <a:lnTo>
                  <a:pt x="55" y="65"/>
                </a:lnTo>
                <a:lnTo>
                  <a:pt x="55" y="63"/>
                </a:lnTo>
                <a:lnTo>
                  <a:pt x="55" y="62"/>
                </a:lnTo>
                <a:lnTo>
                  <a:pt x="55" y="60"/>
                </a:lnTo>
                <a:lnTo>
                  <a:pt x="55" y="58"/>
                </a:lnTo>
                <a:lnTo>
                  <a:pt x="56" y="56"/>
                </a:lnTo>
                <a:lnTo>
                  <a:pt x="57" y="54"/>
                </a:lnTo>
                <a:lnTo>
                  <a:pt x="58" y="52"/>
                </a:lnTo>
                <a:lnTo>
                  <a:pt x="59" y="50"/>
                </a:lnTo>
                <a:lnTo>
                  <a:pt x="62" y="46"/>
                </a:lnTo>
                <a:lnTo>
                  <a:pt x="65" y="42"/>
                </a:lnTo>
                <a:lnTo>
                  <a:pt x="68" y="38"/>
                </a:lnTo>
                <a:lnTo>
                  <a:pt x="72" y="34"/>
                </a:lnTo>
                <a:lnTo>
                  <a:pt x="77" y="31"/>
                </a:lnTo>
                <a:lnTo>
                  <a:pt x="81" y="28"/>
                </a:lnTo>
                <a:lnTo>
                  <a:pt x="86" y="25"/>
                </a:lnTo>
                <a:lnTo>
                  <a:pt x="91" y="22"/>
                </a:lnTo>
                <a:lnTo>
                  <a:pt x="96" y="19"/>
                </a:lnTo>
                <a:lnTo>
                  <a:pt x="102" y="17"/>
                </a:lnTo>
                <a:lnTo>
                  <a:pt x="108" y="14"/>
                </a:lnTo>
                <a:lnTo>
                  <a:pt x="114" y="12"/>
                </a:lnTo>
                <a:lnTo>
                  <a:pt x="120" y="10"/>
                </a:lnTo>
                <a:lnTo>
                  <a:pt x="126" y="9"/>
                </a:lnTo>
                <a:lnTo>
                  <a:pt x="133" y="7"/>
                </a:lnTo>
                <a:lnTo>
                  <a:pt x="139" y="6"/>
                </a:lnTo>
                <a:lnTo>
                  <a:pt x="146" y="4"/>
                </a:lnTo>
                <a:lnTo>
                  <a:pt x="153" y="3"/>
                </a:lnTo>
                <a:lnTo>
                  <a:pt x="159" y="2"/>
                </a:lnTo>
                <a:lnTo>
                  <a:pt x="166" y="2"/>
                </a:lnTo>
                <a:lnTo>
                  <a:pt x="173" y="1"/>
                </a:lnTo>
                <a:lnTo>
                  <a:pt x="180" y="1"/>
                </a:lnTo>
                <a:lnTo>
                  <a:pt x="186" y="1"/>
                </a:lnTo>
                <a:lnTo>
                  <a:pt x="193" y="0"/>
                </a:lnTo>
                <a:lnTo>
                  <a:pt x="199" y="1"/>
                </a:lnTo>
                <a:lnTo>
                  <a:pt x="206" y="1"/>
                </a:lnTo>
                <a:lnTo>
                  <a:pt x="212" y="1"/>
                </a:lnTo>
                <a:lnTo>
                  <a:pt x="218" y="2"/>
                </a:lnTo>
                <a:lnTo>
                  <a:pt x="224" y="3"/>
                </a:lnTo>
                <a:lnTo>
                  <a:pt x="230" y="3"/>
                </a:lnTo>
                <a:lnTo>
                  <a:pt x="235" y="5"/>
                </a:lnTo>
                <a:lnTo>
                  <a:pt x="241" y="6"/>
                </a:lnTo>
                <a:lnTo>
                  <a:pt x="218" y="45"/>
                </a:lnTo>
                <a:lnTo>
                  <a:pt x="215" y="43"/>
                </a:lnTo>
                <a:lnTo>
                  <a:pt x="213" y="42"/>
                </a:lnTo>
                <a:lnTo>
                  <a:pt x="210" y="40"/>
                </a:lnTo>
                <a:lnTo>
                  <a:pt x="207" y="39"/>
                </a:lnTo>
                <a:lnTo>
                  <a:pt x="204" y="37"/>
                </a:lnTo>
                <a:lnTo>
                  <a:pt x="201" y="36"/>
                </a:lnTo>
                <a:lnTo>
                  <a:pt x="198" y="35"/>
                </a:lnTo>
                <a:lnTo>
                  <a:pt x="195" y="34"/>
                </a:lnTo>
                <a:lnTo>
                  <a:pt x="192" y="33"/>
                </a:lnTo>
                <a:lnTo>
                  <a:pt x="189" y="32"/>
                </a:lnTo>
                <a:lnTo>
                  <a:pt x="185" y="31"/>
                </a:lnTo>
                <a:lnTo>
                  <a:pt x="182" y="30"/>
                </a:lnTo>
                <a:lnTo>
                  <a:pt x="178" y="30"/>
                </a:lnTo>
                <a:lnTo>
                  <a:pt x="174" y="29"/>
                </a:lnTo>
                <a:lnTo>
                  <a:pt x="170" y="29"/>
                </a:lnTo>
                <a:lnTo>
                  <a:pt x="166" y="29"/>
                </a:lnTo>
                <a:lnTo>
                  <a:pt x="163" y="29"/>
                </a:lnTo>
                <a:lnTo>
                  <a:pt x="159" y="29"/>
                </a:lnTo>
                <a:lnTo>
                  <a:pt x="156" y="30"/>
                </a:lnTo>
                <a:lnTo>
                  <a:pt x="153" y="30"/>
                </a:lnTo>
                <a:lnTo>
                  <a:pt x="150" y="31"/>
                </a:lnTo>
                <a:lnTo>
                  <a:pt x="148" y="31"/>
                </a:lnTo>
                <a:lnTo>
                  <a:pt x="145" y="32"/>
                </a:lnTo>
                <a:lnTo>
                  <a:pt x="143" y="33"/>
                </a:lnTo>
                <a:lnTo>
                  <a:pt x="141" y="34"/>
                </a:lnTo>
                <a:lnTo>
                  <a:pt x="140" y="34"/>
                </a:lnTo>
                <a:lnTo>
                  <a:pt x="138" y="35"/>
                </a:lnTo>
                <a:lnTo>
                  <a:pt x="137" y="36"/>
                </a:lnTo>
                <a:lnTo>
                  <a:pt x="136" y="37"/>
                </a:lnTo>
                <a:lnTo>
                  <a:pt x="135" y="38"/>
                </a:lnTo>
                <a:lnTo>
                  <a:pt x="134" y="39"/>
                </a:lnTo>
                <a:lnTo>
                  <a:pt x="133" y="40"/>
                </a:lnTo>
                <a:lnTo>
                  <a:pt x="133" y="41"/>
                </a:lnTo>
                <a:lnTo>
                  <a:pt x="133" y="42"/>
                </a:lnTo>
                <a:lnTo>
                  <a:pt x="132" y="42"/>
                </a:lnTo>
                <a:lnTo>
                  <a:pt x="132" y="43"/>
                </a:lnTo>
                <a:lnTo>
                  <a:pt x="133" y="44"/>
                </a:lnTo>
                <a:lnTo>
                  <a:pt x="133" y="45"/>
                </a:lnTo>
                <a:lnTo>
                  <a:pt x="134" y="46"/>
                </a:lnTo>
                <a:lnTo>
                  <a:pt x="135" y="47"/>
                </a:lnTo>
                <a:lnTo>
                  <a:pt x="136" y="48"/>
                </a:lnTo>
                <a:lnTo>
                  <a:pt x="137" y="48"/>
                </a:lnTo>
                <a:lnTo>
                  <a:pt x="138" y="49"/>
                </a:lnTo>
                <a:lnTo>
                  <a:pt x="139" y="49"/>
                </a:lnTo>
                <a:lnTo>
                  <a:pt x="141" y="50"/>
                </a:lnTo>
                <a:lnTo>
                  <a:pt x="143" y="51"/>
                </a:lnTo>
                <a:lnTo>
                  <a:pt x="144" y="51"/>
                </a:lnTo>
                <a:lnTo>
                  <a:pt x="146" y="52"/>
                </a:lnTo>
                <a:lnTo>
                  <a:pt x="150" y="54"/>
                </a:lnTo>
                <a:lnTo>
                  <a:pt x="155" y="55"/>
                </a:lnTo>
                <a:lnTo>
                  <a:pt x="160" y="57"/>
                </a:lnTo>
                <a:lnTo>
                  <a:pt x="166" y="58"/>
                </a:lnTo>
                <a:lnTo>
                  <a:pt x="172" y="60"/>
                </a:lnTo>
                <a:lnTo>
                  <a:pt x="179" y="62"/>
                </a:lnTo>
                <a:lnTo>
                  <a:pt x="182" y="64"/>
                </a:lnTo>
                <a:lnTo>
                  <a:pt x="185" y="65"/>
                </a:lnTo>
                <a:lnTo>
                  <a:pt x="187" y="66"/>
                </a:lnTo>
                <a:lnTo>
                  <a:pt x="190" y="67"/>
                </a:lnTo>
                <a:lnTo>
                  <a:pt x="192" y="68"/>
                </a:lnTo>
                <a:lnTo>
                  <a:pt x="195" y="69"/>
                </a:lnTo>
                <a:lnTo>
                  <a:pt x="197" y="70"/>
                </a:lnTo>
                <a:lnTo>
                  <a:pt x="198" y="71"/>
                </a:lnTo>
                <a:lnTo>
                  <a:pt x="200" y="73"/>
                </a:lnTo>
                <a:lnTo>
                  <a:pt x="202" y="74"/>
                </a:lnTo>
                <a:lnTo>
                  <a:pt x="203" y="75"/>
                </a:lnTo>
                <a:lnTo>
                  <a:pt x="204" y="76"/>
                </a:lnTo>
                <a:lnTo>
                  <a:pt x="206" y="78"/>
                </a:lnTo>
                <a:lnTo>
                  <a:pt x="207" y="79"/>
                </a:lnTo>
                <a:lnTo>
                  <a:pt x="207" y="81"/>
                </a:lnTo>
                <a:lnTo>
                  <a:pt x="208" y="82"/>
                </a:lnTo>
                <a:lnTo>
                  <a:pt x="209" y="83"/>
                </a:lnTo>
                <a:lnTo>
                  <a:pt x="209" y="85"/>
                </a:lnTo>
                <a:lnTo>
                  <a:pt x="209" y="86"/>
                </a:lnTo>
                <a:lnTo>
                  <a:pt x="210" y="88"/>
                </a:lnTo>
                <a:lnTo>
                  <a:pt x="210" y="89"/>
                </a:lnTo>
                <a:lnTo>
                  <a:pt x="210" y="91"/>
                </a:lnTo>
                <a:lnTo>
                  <a:pt x="210" y="92"/>
                </a:lnTo>
                <a:lnTo>
                  <a:pt x="210" y="94"/>
                </a:lnTo>
                <a:lnTo>
                  <a:pt x="209" y="95"/>
                </a:lnTo>
                <a:lnTo>
                  <a:pt x="209" y="97"/>
                </a:lnTo>
                <a:lnTo>
                  <a:pt x="208" y="98"/>
                </a:lnTo>
                <a:lnTo>
                  <a:pt x="208" y="100"/>
                </a:lnTo>
                <a:lnTo>
                  <a:pt x="207" y="101"/>
                </a:lnTo>
                <a:lnTo>
                  <a:pt x="206" y="103"/>
                </a:lnTo>
                <a:lnTo>
                  <a:pt x="205" y="104"/>
                </a:lnTo>
                <a:lnTo>
                  <a:pt x="205" y="106"/>
                </a:lnTo>
                <a:lnTo>
                  <a:pt x="203" y="109"/>
                </a:lnTo>
                <a:lnTo>
                  <a:pt x="201" y="111"/>
                </a:lnTo>
                <a:lnTo>
                  <a:pt x="199" y="114"/>
                </a:lnTo>
                <a:lnTo>
                  <a:pt x="196" y="117"/>
                </a:lnTo>
                <a:lnTo>
                  <a:pt x="194" y="119"/>
                </a:lnTo>
                <a:lnTo>
                  <a:pt x="191" y="122"/>
                </a:lnTo>
                <a:lnTo>
                  <a:pt x="188" y="124"/>
                </a:lnTo>
                <a:lnTo>
                  <a:pt x="185" y="127"/>
                </a:lnTo>
                <a:lnTo>
                  <a:pt x="182" y="129"/>
                </a:lnTo>
                <a:lnTo>
                  <a:pt x="178" y="131"/>
                </a:lnTo>
                <a:lnTo>
                  <a:pt x="175" y="133"/>
                </a:lnTo>
                <a:lnTo>
                  <a:pt x="171" y="136"/>
                </a:lnTo>
                <a:lnTo>
                  <a:pt x="167" y="138"/>
                </a:lnTo>
                <a:lnTo>
                  <a:pt x="163" y="140"/>
                </a:lnTo>
                <a:lnTo>
                  <a:pt x="159" y="141"/>
                </a:lnTo>
                <a:lnTo>
                  <a:pt x="154" y="143"/>
                </a:lnTo>
                <a:lnTo>
                  <a:pt x="150" y="145"/>
                </a:lnTo>
                <a:lnTo>
                  <a:pt x="145" y="147"/>
                </a:lnTo>
                <a:lnTo>
                  <a:pt x="141" y="148"/>
                </a:lnTo>
                <a:lnTo>
                  <a:pt x="136" y="150"/>
                </a:lnTo>
                <a:lnTo>
                  <a:pt x="131" y="151"/>
                </a:lnTo>
                <a:lnTo>
                  <a:pt x="126" y="152"/>
                </a:lnTo>
                <a:lnTo>
                  <a:pt x="120" y="153"/>
                </a:lnTo>
                <a:lnTo>
                  <a:pt x="115" y="154"/>
                </a:lnTo>
                <a:lnTo>
                  <a:pt x="110" y="155"/>
                </a:lnTo>
                <a:lnTo>
                  <a:pt x="104" y="156"/>
                </a:lnTo>
                <a:lnTo>
                  <a:pt x="99" y="157"/>
                </a:lnTo>
                <a:lnTo>
                  <a:pt x="93" y="157"/>
                </a:lnTo>
                <a:lnTo>
                  <a:pt x="87" y="158"/>
                </a:lnTo>
                <a:lnTo>
                  <a:pt x="82" y="158"/>
                </a:lnTo>
                <a:lnTo>
                  <a:pt x="76" y="158"/>
                </a:lnTo>
                <a:lnTo>
                  <a:pt x="70" y="158"/>
                </a:lnTo>
                <a:close/>
              </a:path>
            </a:pathLst>
          </a:custGeom>
          <a:solidFill>
            <a:srgbClr val="00593C"/>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303864" name="Freeform 7">
            <a:extLst>
              <a:ext uri="{FF2B5EF4-FFF2-40B4-BE49-F238E27FC236}">
                <a16:creationId xmlns:a16="http://schemas.microsoft.com/office/drawing/2014/main" id="{907FCDDB-4794-44ED-91F5-9B70CB21FB54}"/>
              </a:ext>
            </a:extLst>
          </xdr:cNvPr>
          <xdr:cNvSpPr>
            <a:spLocks noEditPoints="1"/>
          </xdr:cNvSpPr>
        </xdr:nvSpPr>
        <xdr:spPr bwMode="auto">
          <a:xfrm>
            <a:off x="939" y="1745"/>
            <a:ext cx="102" cy="98"/>
          </a:xfrm>
          <a:custGeom>
            <a:avLst/>
            <a:gdLst>
              <a:gd name="T0" fmla="*/ 2 w 126"/>
              <a:gd name="T1" fmla="*/ 0 h 100"/>
              <a:gd name="T2" fmla="*/ 0 w 126"/>
              <a:gd name="T3" fmla="*/ 25 h 100"/>
              <a:gd name="T4" fmla="*/ 2 w 126"/>
              <a:gd name="T5" fmla="*/ 25 h 100"/>
              <a:gd name="T6" fmla="*/ 2 w 126"/>
              <a:gd name="T7" fmla="*/ 25 h 100"/>
              <a:gd name="T8" fmla="*/ 2 w 126"/>
              <a:gd name="T9" fmla="*/ 25 h 100"/>
              <a:gd name="T10" fmla="*/ 2 w 126"/>
              <a:gd name="T11" fmla="*/ 25 h 100"/>
              <a:gd name="T12" fmla="*/ 2 w 126"/>
              <a:gd name="T13" fmla="*/ 25 h 100"/>
              <a:gd name="T14" fmla="*/ 2 w 126"/>
              <a:gd name="T15" fmla="*/ 0 h 100"/>
              <a:gd name="T16" fmla="*/ 2 w 126"/>
              <a:gd name="T17" fmla="*/ 0 h 100"/>
              <a:gd name="T18" fmla="*/ 2 w 126"/>
              <a:gd name="T19" fmla="*/ 25 h 100"/>
              <a:gd name="T20" fmla="*/ 2 w 126"/>
              <a:gd name="T21" fmla="*/ 25 h 100"/>
              <a:gd name="T22" fmla="*/ 2 w 126"/>
              <a:gd name="T23" fmla="*/ 25 h 100"/>
              <a:gd name="T24" fmla="*/ 2 w 126"/>
              <a:gd name="T25" fmla="*/ 25 h 100"/>
              <a:gd name="T26" fmla="*/ 0 60000 65536"/>
              <a:gd name="T27" fmla="*/ 0 60000 65536"/>
              <a:gd name="T28" fmla="*/ 0 60000 65536"/>
              <a:gd name="T29" fmla="*/ 0 60000 65536"/>
              <a:gd name="T30" fmla="*/ 0 60000 65536"/>
              <a:gd name="T31" fmla="*/ 0 60000 65536"/>
              <a:gd name="T32" fmla="*/ 0 60000 65536"/>
              <a:gd name="T33" fmla="*/ 0 60000 65536"/>
              <a:gd name="T34" fmla="*/ 0 60000 65536"/>
              <a:gd name="T35" fmla="*/ 0 60000 65536"/>
              <a:gd name="T36" fmla="*/ 0 60000 65536"/>
              <a:gd name="T37" fmla="*/ 0 60000 65536"/>
              <a:gd name="T38" fmla="*/ 0 60000 65536"/>
              <a:gd name="T39" fmla="*/ 0 w 126"/>
              <a:gd name="T40" fmla="*/ 0 h 100"/>
              <a:gd name="T41" fmla="*/ 126 w 126"/>
              <a:gd name="T42" fmla="*/ 100 h 100"/>
            </a:gdLst>
            <a:ahLst/>
            <a:cxnLst>
              <a:cxn ang="T26">
                <a:pos x="T0" y="T1"/>
              </a:cxn>
              <a:cxn ang="T27">
                <a:pos x="T2" y="T3"/>
              </a:cxn>
              <a:cxn ang="T28">
                <a:pos x="T4" y="T5"/>
              </a:cxn>
              <a:cxn ang="T29">
                <a:pos x="T6" y="T7"/>
              </a:cxn>
              <a:cxn ang="T30">
                <a:pos x="T8" y="T9"/>
              </a:cxn>
              <a:cxn ang="T31">
                <a:pos x="T10" y="T11"/>
              </a:cxn>
              <a:cxn ang="T32">
                <a:pos x="T12" y="T13"/>
              </a:cxn>
              <a:cxn ang="T33">
                <a:pos x="T14" y="T15"/>
              </a:cxn>
              <a:cxn ang="T34">
                <a:pos x="T16" y="T17"/>
              </a:cxn>
              <a:cxn ang="T35">
                <a:pos x="T18" y="T19"/>
              </a:cxn>
              <a:cxn ang="T36">
                <a:pos x="T20" y="T21"/>
              </a:cxn>
              <a:cxn ang="T37">
                <a:pos x="T22" y="T23"/>
              </a:cxn>
              <a:cxn ang="T38">
                <a:pos x="T24" y="T25"/>
              </a:cxn>
            </a:cxnLst>
            <a:rect l="T39" t="T40" r="T41" b="T42"/>
            <a:pathLst>
              <a:path w="126" h="100">
                <a:moveTo>
                  <a:pt x="106" y="0"/>
                </a:moveTo>
                <a:lnTo>
                  <a:pt x="0" y="100"/>
                </a:lnTo>
                <a:lnTo>
                  <a:pt x="27" y="100"/>
                </a:lnTo>
                <a:lnTo>
                  <a:pt x="49" y="79"/>
                </a:lnTo>
                <a:lnTo>
                  <a:pt x="85" y="79"/>
                </a:lnTo>
                <a:lnTo>
                  <a:pt x="82" y="100"/>
                </a:lnTo>
                <a:lnTo>
                  <a:pt x="117" y="100"/>
                </a:lnTo>
                <a:lnTo>
                  <a:pt x="126" y="0"/>
                </a:lnTo>
                <a:lnTo>
                  <a:pt x="106" y="0"/>
                </a:lnTo>
                <a:close/>
                <a:moveTo>
                  <a:pt x="91" y="37"/>
                </a:moveTo>
                <a:lnTo>
                  <a:pt x="87" y="65"/>
                </a:lnTo>
                <a:lnTo>
                  <a:pt x="63" y="65"/>
                </a:lnTo>
                <a:lnTo>
                  <a:pt x="91" y="37"/>
                </a:lnTo>
                <a:close/>
              </a:path>
            </a:pathLst>
          </a:custGeom>
          <a:solidFill>
            <a:srgbClr val="00593C"/>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303865" name="Freeform 8">
            <a:extLst>
              <a:ext uri="{FF2B5EF4-FFF2-40B4-BE49-F238E27FC236}">
                <a16:creationId xmlns:a16="http://schemas.microsoft.com/office/drawing/2014/main" id="{88D626CB-5B1F-413B-89B7-041DC9717634}"/>
              </a:ext>
            </a:extLst>
          </xdr:cNvPr>
          <xdr:cNvSpPr>
            <a:spLocks noEditPoints="1"/>
          </xdr:cNvSpPr>
        </xdr:nvSpPr>
        <xdr:spPr bwMode="auto">
          <a:xfrm>
            <a:off x="1032" y="1768"/>
            <a:ext cx="113" cy="104"/>
          </a:xfrm>
          <a:custGeom>
            <a:avLst/>
            <a:gdLst>
              <a:gd name="T0" fmla="*/ 2 w 138"/>
              <a:gd name="T1" fmla="*/ 1 h 106"/>
              <a:gd name="T2" fmla="*/ 2 w 138"/>
              <a:gd name="T3" fmla="*/ 1 h 106"/>
              <a:gd name="T4" fmla="*/ 2 w 138"/>
              <a:gd name="T5" fmla="*/ 6 h 106"/>
              <a:gd name="T6" fmla="*/ 2 w 138"/>
              <a:gd name="T7" fmla="*/ 12 h 106"/>
              <a:gd name="T8" fmla="*/ 2 w 138"/>
              <a:gd name="T9" fmla="*/ 21 h 106"/>
              <a:gd name="T10" fmla="*/ 2 w 138"/>
              <a:gd name="T11" fmla="*/ 26 h 106"/>
              <a:gd name="T12" fmla="*/ 2 w 138"/>
              <a:gd name="T13" fmla="*/ 26 h 106"/>
              <a:gd name="T14" fmla="*/ 2 w 138"/>
              <a:gd name="T15" fmla="*/ 26 h 106"/>
              <a:gd name="T16" fmla="*/ 2 w 138"/>
              <a:gd name="T17" fmla="*/ 26 h 106"/>
              <a:gd name="T18" fmla="*/ 2 w 138"/>
              <a:gd name="T19" fmla="*/ 26 h 106"/>
              <a:gd name="T20" fmla="*/ 2 w 138"/>
              <a:gd name="T21" fmla="*/ 26 h 106"/>
              <a:gd name="T22" fmla="*/ 2 w 138"/>
              <a:gd name="T23" fmla="*/ 26 h 106"/>
              <a:gd name="T24" fmla="*/ 2 w 138"/>
              <a:gd name="T25" fmla="*/ 26 h 106"/>
              <a:gd name="T26" fmla="*/ 2 w 138"/>
              <a:gd name="T27" fmla="*/ 26 h 106"/>
              <a:gd name="T28" fmla="*/ 2 w 138"/>
              <a:gd name="T29" fmla="*/ 26 h 106"/>
              <a:gd name="T30" fmla="*/ 0 w 138"/>
              <a:gd name="T31" fmla="*/ 26 h 106"/>
              <a:gd name="T32" fmla="*/ 1 w 138"/>
              <a:gd name="T33" fmla="*/ 26 h 106"/>
              <a:gd name="T34" fmla="*/ 2 w 138"/>
              <a:gd name="T35" fmla="*/ 26 h 106"/>
              <a:gd name="T36" fmla="*/ 2 w 138"/>
              <a:gd name="T37" fmla="*/ 26 h 106"/>
              <a:gd name="T38" fmla="*/ 2 w 138"/>
              <a:gd name="T39" fmla="*/ 26 h 106"/>
              <a:gd name="T40" fmla="*/ 2 w 138"/>
              <a:gd name="T41" fmla="*/ 26 h 106"/>
              <a:gd name="T42" fmla="*/ 2 w 138"/>
              <a:gd name="T43" fmla="*/ 26 h 106"/>
              <a:gd name="T44" fmla="*/ 2 w 138"/>
              <a:gd name="T45" fmla="*/ 26 h 106"/>
              <a:gd name="T46" fmla="*/ 2 w 138"/>
              <a:gd name="T47" fmla="*/ 26 h 106"/>
              <a:gd name="T48" fmla="*/ 2 w 138"/>
              <a:gd name="T49" fmla="*/ 26 h 106"/>
              <a:gd name="T50" fmla="*/ 2 w 138"/>
              <a:gd name="T51" fmla="*/ 26 h 106"/>
              <a:gd name="T52" fmla="*/ 2 w 138"/>
              <a:gd name="T53" fmla="*/ 26 h 106"/>
              <a:gd name="T54" fmla="*/ 2 w 138"/>
              <a:gd name="T55" fmla="*/ 26 h 106"/>
              <a:gd name="T56" fmla="*/ 2 w 138"/>
              <a:gd name="T57" fmla="*/ 26 h 106"/>
              <a:gd name="T58" fmla="*/ 2 w 138"/>
              <a:gd name="T59" fmla="*/ 26 h 106"/>
              <a:gd name="T60" fmla="*/ 2 w 138"/>
              <a:gd name="T61" fmla="*/ 26 h 106"/>
              <a:gd name="T62" fmla="*/ 2 w 138"/>
              <a:gd name="T63" fmla="*/ 26 h 106"/>
              <a:gd name="T64" fmla="*/ 2 w 138"/>
              <a:gd name="T65" fmla="*/ 26 h 106"/>
              <a:gd name="T66" fmla="*/ 2 w 138"/>
              <a:gd name="T67" fmla="*/ 26 h 106"/>
              <a:gd name="T68" fmla="*/ 2 w 138"/>
              <a:gd name="T69" fmla="*/ 26 h 106"/>
              <a:gd name="T70" fmla="*/ 2 w 138"/>
              <a:gd name="T71" fmla="*/ 21 h 106"/>
              <a:gd name="T72" fmla="*/ 2 w 138"/>
              <a:gd name="T73" fmla="*/ 15 h 106"/>
              <a:gd name="T74" fmla="*/ 2 w 138"/>
              <a:gd name="T75" fmla="*/ 26 h 106"/>
              <a:gd name="T76" fmla="*/ 2 w 138"/>
              <a:gd name="T77" fmla="*/ 15 h 106"/>
              <a:gd name="T78" fmla="*/ 2 w 138"/>
              <a:gd name="T79" fmla="*/ 12 h 106"/>
              <a:gd name="T80" fmla="*/ 2 w 138"/>
              <a:gd name="T81" fmla="*/ 14 h 106"/>
              <a:gd name="T82" fmla="*/ 2 w 138"/>
              <a:gd name="T83" fmla="*/ 17 h 106"/>
              <a:gd name="T84" fmla="*/ 2 w 138"/>
              <a:gd name="T85" fmla="*/ 26 h 106"/>
              <a:gd name="T86" fmla="*/ 2 w 138"/>
              <a:gd name="T87" fmla="*/ 26 h 106"/>
              <a:gd name="T88" fmla="*/ 2 w 138"/>
              <a:gd name="T89" fmla="*/ 26 h 106"/>
              <a:gd name="T90" fmla="*/ 2 w 138"/>
              <a:gd name="T91" fmla="*/ 26 h 106"/>
              <a:gd name="T92" fmla="*/ 2 w 138"/>
              <a:gd name="T93" fmla="*/ 26 h 106"/>
              <a:gd name="T94" fmla="*/ 2 w 138"/>
              <a:gd name="T95" fmla="*/ 26 h 106"/>
              <a:gd name="T96" fmla="*/ 2 w 138"/>
              <a:gd name="T97" fmla="*/ 26 h 106"/>
              <a:gd name="T98" fmla="*/ 2 w 138"/>
              <a:gd name="T99" fmla="*/ 26 h 106"/>
              <a:gd name="T100" fmla="*/ 2 w 138"/>
              <a:gd name="T101" fmla="*/ 26 h 106"/>
              <a:gd name="T102" fmla="*/ 2 w 138"/>
              <a:gd name="T103" fmla="*/ 26 h 106"/>
              <a:gd name="T104" fmla="*/ 2 w 138"/>
              <a:gd name="T105" fmla="*/ 26 h 106"/>
              <a:gd name="T106" fmla="*/ 2 w 138"/>
              <a:gd name="T107" fmla="*/ 26 h 106"/>
              <a:gd name="T108" fmla="*/ 2 w 138"/>
              <a:gd name="T109" fmla="*/ 26 h 106"/>
              <a:gd name="T110" fmla="*/ 2 w 138"/>
              <a:gd name="T111" fmla="*/ 26 h 10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w 138"/>
              <a:gd name="T169" fmla="*/ 0 h 106"/>
              <a:gd name="T170" fmla="*/ 138 w 138"/>
              <a:gd name="T171" fmla="*/ 106 h 106"/>
            </a:gdLst>
            <a:ahLst/>
            <a:cxnLst>
              <a:cxn ang="T112">
                <a:pos x="T0" y="T1"/>
              </a:cxn>
              <a:cxn ang="T113">
                <a:pos x="T2" y="T3"/>
              </a:cxn>
              <a:cxn ang="T114">
                <a:pos x="T4" y="T5"/>
              </a:cxn>
              <a:cxn ang="T115">
                <a:pos x="T6" y="T7"/>
              </a:cxn>
              <a:cxn ang="T116">
                <a:pos x="T8" y="T9"/>
              </a:cxn>
              <a:cxn ang="T117">
                <a:pos x="T10" y="T11"/>
              </a:cxn>
              <a:cxn ang="T118">
                <a:pos x="T12" y="T13"/>
              </a:cxn>
              <a:cxn ang="T119">
                <a:pos x="T14" y="T15"/>
              </a:cxn>
              <a:cxn ang="T120">
                <a:pos x="T16" y="T17"/>
              </a:cxn>
              <a:cxn ang="T121">
                <a:pos x="T18" y="T19"/>
              </a:cxn>
              <a:cxn ang="T122">
                <a:pos x="T20" y="T21"/>
              </a:cxn>
              <a:cxn ang="T123">
                <a:pos x="T22" y="T23"/>
              </a:cxn>
              <a:cxn ang="T124">
                <a:pos x="T24" y="T25"/>
              </a:cxn>
              <a:cxn ang="T125">
                <a:pos x="T26" y="T27"/>
              </a:cxn>
              <a:cxn ang="T126">
                <a:pos x="T28" y="T29"/>
              </a:cxn>
              <a:cxn ang="T127">
                <a:pos x="T30" y="T31"/>
              </a:cxn>
              <a:cxn ang="T128">
                <a:pos x="T32" y="T33"/>
              </a:cxn>
              <a:cxn ang="T129">
                <a:pos x="T34" y="T35"/>
              </a:cxn>
              <a:cxn ang="T130">
                <a:pos x="T36" y="T37"/>
              </a:cxn>
              <a:cxn ang="T131">
                <a:pos x="T38" y="T39"/>
              </a:cxn>
              <a:cxn ang="T132">
                <a:pos x="T40" y="T41"/>
              </a:cxn>
              <a:cxn ang="T133">
                <a:pos x="T42" y="T43"/>
              </a:cxn>
              <a:cxn ang="T134">
                <a:pos x="T44" y="T45"/>
              </a:cxn>
              <a:cxn ang="T135">
                <a:pos x="T46" y="T47"/>
              </a:cxn>
              <a:cxn ang="T136">
                <a:pos x="T48" y="T49"/>
              </a:cxn>
              <a:cxn ang="T137">
                <a:pos x="T50" y="T51"/>
              </a:cxn>
              <a:cxn ang="T138">
                <a:pos x="T52" y="T53"/>
              </a:cxn>
              <a:cxn ang="T139">
                <a:pos x="T54" y="T55"/>
              </a:cxn>
              <a:cxn ang="T140">
                <a:pos x="T56" y="T57"/>
              </a:cxn>
              <a:cxn ang="T141">
                <a:pos x="T58" y="T59"/>
              </a:cxn>
              <a:cxn ang="T142">
                <a:pos x="T60" y="T61"/>
              </a:cxn>
              <a:cxn ang="T143">
                <a:pos x="T62" y="T63"/>
              </a:cxn>
              <a:cxn ang="T144">
                <a:pos x="T64" y="T65"/>
              </a:cxn>
              <a:cxn ang="T145">
                <a:pos x="T66" y="T67"/>
              </a:cxn>
              <a:cxn ang="T146">
                <a:pos x="T68" y="T69"/>
              </a:cxn>
              <a:cxn ang="T147">
                <a:pos x="T70" y="T71"/>
              </a:cxn>
              <a:cxn ang="T148">
                <a:pos x="T72" y="T73"/>
              </a:cxn>
              <a:cxn ang="T149">
                <a:pos x="T74" y="T75"/>
              </a:cxn>
              <a:cxn ang="T150">
                <a:pos x="T76" y="T77"/>
              </a:cxn>
              <a:cxn ang="T151">
                <a:pos x="T78" y="T79"/>
              </a:cxn>
              <a:cxn ang="T152">
                <a:pos x="T80" y="T81"/>
              </a:cxn>
              <a:cxn ang="T153">
                <a:pos x="T82" y="T83"/>
              </a:cxn>
              <a:cxn ang="T154">
                <a:pos x="T84" y="T85"/>
              </a:cxn>
              <a:cxn ang="T155">
                <a:pos x="T86" y="T87"/>
              </a:cxn>
              <a:cxn ang="T156">
                <a:pos x="T88" y="T89"/>
              </a:cxn>
              <a:cxn ang="T157">
                <a:pos x="T90" y="T91"/>
              </a:cxn>
              <a:cxn ang="T158">
                <a:pos x="T92" y="T93"/>
              </a:cxn>
              <a:cxn ang="T159">
                <a:pos x="T94" y="T95"/>
              </a:cxn>
              <a:cxn ang="T160">
                <a:pos x="T96" y="T97"/>
              </a:cxn>
              <a:cxn ang="T161">
                <a:pos x="T98" y="T99"/>
              </a:cxn>
              <a:cxn ang="T162">
                <a:pos x="T100" y="T101"/>
              </a:cxn>
              <a:cxn ang="T163">
                <a:pos x="T102" y="T103"/>
              </a:cxn>
              <a:cxn ang="T164">
                <a:pos x="T104" y="T105"/>
              </a:cxn>
              <a:cxn ang="T165">
                <a:pos x="T106" y="T107"/>
              </a:cxn>
              <a:cxn ang="T166">
                <a:pos x="T108" y="T109"/>
              </a:cxn>
              <a:cxn ang="T167">
                <a:pos x="T110" y="T111"/>
              </a:cxn>
            </a:cxnLst>
            <a:rect l="T168" t="T169" r="T170" b="T171"/>
            <a:pathLst>
              <a:path w="138" h="106">
                <a:moveTo>
                  <a:pt x="138" y="2"/>
                </a:moveTo>
                <a:lnTo>
                  <a:pt x="104" y="2"/>
                </a:lnTo>
                <a:lnTo>
                  <a:pt x="103" y="2"/>
                </a:lnTo>
                <a:lnTo>
                  <a:pt x="102" y="1"/>
                </a:lnTo>
                <a:lnTo>
                  <a:pt x="101" y="1"/>
                </a:lnTo>
                <a:lnTo>
                  <a:pt x="99" y="1"/>
                </a:lnTo>
                <a:lnTo>
                  <a:pt x="97" y="1"/>
                </a:lnTo>
                <a:lnTo>
                  <a:pt x="95" y="1"/>
                </a:lnTo>
                <a:lnTo>
                  <a:pt x="93" y="0"/>
                </a:lnTo>
                <a:lnTo>
                  <a:pt x="91" y="0"/>
                </a:lnTo>
                <a:lnTo>
                  <a:pt x="88" y="0"/>
                </a:lnTo>
                <a:lnTo>
                  <a:pt x="85" y="1"/>
                </a:lnTo>
                <a:lnTo>
                  <a:pt x="83" y="1"/>
                </a:lnTo>
                <a:lnTo>
                  <a:pt x="80" y="1"/>
                </a:lnTo>
                <a:lnTo>
                  <a:pt x="78" y="2"/>
                </a:lnTo>
                <a:lnTo>
                  <a:pt x="75" y="2"/>
                </a:lnTo>
                <a:lnTo>
                  <a:pt x="73" y="3"/>
                </a:lnTo>
                <a:lnTo>
                  <a:pt x="70" y="3"/>
                </a:lnTo>
                <a:lnTo>
                  <a:pt x="68" y="4"/>
                </a:lnTo>
                <a:lnTo>
                  <a:pt x="66" y="5"/>
                </a:lnTo>
                <a:lnTo>
                  <a:pt x="64" y="6"/>
                </a:lnTo>
                <a:lnTo>
                  <a:pt x="62" y="6"/>
                </a:lnTo>
                <a:lnTo>
                  <a:pt x="60" y="7"/>
                </a:lnTo>
                <a:lnTo>
                  <a:pt x="58" y="8"/>
                </a:lnTo>
                <a:lnTo>
                  <a:pt x="57" y="9"/>
                </a:lnTo>
                <a:lnTo>
                  <a:pt x="55" y="10"/>
                </a:lnTo>
                <a:lnTo>
                  <a:pt x="54" y="11"/>
                </a:lnTo>
                <a:lnTo>
                  <a:pt x="52" y="12"/>
                </a:lnTo>
                <a:lnTo>
                  <a:pt x="51" y="14"/>
                </a:lnTo>
                <a:lnTo>
                  <a:pt x="49" y="15"/>
                </a:lnTo>
                <a:lnTo>
                  <a:pt x="48" y="16"/>
                </a:lnTo>
                <a:lnTo>
                  <a:pt x="47" y="17"/>
                </a:lnTo>
                <a:lnTo>
                  <a:pt x="46" y="18"/>
                </a:lnTo>
                <a:lnTo>
                  <a:pt x="45" y="20"/>
                </a:lnTo>
                <a:lnTo>
                  <a:pt x="44" y="21"/>
                </a:lnTo>
                <a:lnTo>
                  <a:pt x="43" y="22"/>
                </a:lnTo>
                <a:lnTo>
                  <a:pt x="42" y="23"/>
                </a:lnTo>
                <a:lnTo>
                  <a:pt x="41" y="24"/>
                </a:lnTo>
                <a:lnTo>
                  <a:pt x="41" y="26"/>
                </a:lnTo>
                <a:lnTo>
                  <a:pt x="40" y="27"/>
                </a:lnTo>
                <a:lnTo>
                  <a:pt x="40" y="28"/>
                </a:lnTo>
                <a:lnTo>
                  <a:pt x="39" y="29"/>
                </a:lnTo>
                <a:lnTo>
                  <a:pt x="39" y="30"/>
                </a:lnTo>
                <a:lnTo>
                  <a:pt x="39" y="31"/>
                </a:lnTo>
                <a:lnTo>
                  <a:pt x="38" y="32"/>
                </a:lnTo>
                <a:lnTo>
                  <a:pt x="38" y="34"/>
                </a:lnTo>
                <a:lnTo>
                  <a:pt x="38" y="35"/>
                </a:lnTo>
                <a:lnTo>
                  <a:pt x="38" y="36"/>
                </a:lnTo>
                <a:lnTo>
                  <a:pt x="38" y="37"/>
                </a:lnTo>
                <a:lnTo>
                  <a:pt x="39" y="38"/>
                </a:lnTo>
                <a:lnTo>
                  <a:pt x="39" y="39"/>
                </a:lnTo>
                <a:lnTo>
                  <a:pt x="39" y="40"/>
                </a:lnTo>
                <a:lnTo>
                  <a:pt x="40" y="41"/>
                </a:lnTo>
                <a:lnTo>
                  <a:pt x="41" y="42"/>
                </a:lnTo>
                <a:lnTo>
                  <a:pt x="42" y="43"/>
                </a:lnTo>
                <a:lnTo>
                  <a:pt x="43" y="44"/>
                </a:lnTo>
                <a:lnTo>
                  <a:pt x="44" y="45"/>
                </a:lnTo>
                <a:lnTo>
                  <a:pt x="45" y="46"/>
                </a:lnTo>
                <a:lnTo>
                  <a:pt x="46" y="46"/>
                </a:lnTo>
                <a:lnTo>
                  <a:pt x="48" y="47"/>
                </a:lnTo>
                <a:lnTo>
                  <a:pt x="50" y="48"/>
                </a:lnTo>
                <a:lnTo>
                  <a:pt x="46" y="50"/>
                </a:lnTo>
                <a:lnTo>
                  <a:pt x="43" y="52"/>
                </a:lnTo>
                <a:lnTo>
                  <a:pt x="41" y="53"/>
                </a:lnTo>
                <a:lnTo>
                  <a:pt x="40" y="54"/>
                </a:lnTo>
                <a:lnTo>
                  <a:pt x="38" y="54"/>
                </a:lnTo>
                <a:lnTo>
                  <a:pt x="37" y="55"/>
                </a:lnTo>
                <a:lnTo>
                  <a:pt x="35" y="56"/>
                </a:lnTo>
                <a:lnTo>
                  <a:pt x="34" y="57"/>
                </a:lnTo>
                <a:lnTo>
                  <a:pt x="33" y="58"/>
                </a:lnTo>
                <a:lnTo>
                  <a:pt x="32" y="59"/>
                </a:lnTo>
                <a:lnTo>
                  <a:pt x="31" y="60"/>
                </a:lnTo>
                <a:lnTo>
                  <a:pt x="30" y="61"/>
                </a:lnTo>
                <a:lnTo>
                  <a:pt x="29" y="62"/>
                </a:lnTo>
                <a:lnTo>
                  <a:pt x="29" y="63"/>
                </a:lnTo>
                <a:lnTo>
                  <a:pt x="29" y="64"/>
                </a:lnTo>
                <a:lnTo>
                  <a:pt x="29" y="65"/>
                </a:lnTo>
                <a:lnTo>
                  <a:pt x="29" y="66"/>
                </a:lnTo>
                <a:lnTo>
                  <a:pt x="29" y="67"/>
                </a:lnTo>
                <a:lnTo>
                  <a:pt x="29" y="68"/>
                </a:lnTo>
                <a:lnTo>
                  <a:pt x="30" y="69"/>
                </a:lnTo>
                <a:lnTo>
                  <a:pt x="31" y="70"/>
                </a:lnTo>
                <a:lnTo>
                  <a:pt x="32" y="71"/>
                </a:lnTo>
                <a:lnTo>
                  <a:pt x="33" y="71"/>
                </a:lnTo>
                <a:lnTo>
                  <a:pt x="34" y="72"/>
                </a:lnTo>
                <a:lnTo>
                  <a:pt x="36" y="73"/>
                </a:lnTo>
                <a:lnTo>
                  <a:pt x="39" y="74"/>
                </a:lnTo>
                <a:lnTo>
                  <a:pt x="34" y="75"/>
                </a:lnTo>
                <a:lnTo>
                  <a:pt x="29" y="76"/>
                </a:lnTo>
                <a:lnTo>
                  <a:pt x="26" y="77"/>
                </a:lnTo>
                <a:lnTo>
                  <a:pt x="23" y="78"/>
                </a:lnTo>
                <a:lnTo>
                  <a:pt x="20" y="79"/>
                </a:lnTo>
                <a:lnTo>
                  <a:pt x="17" y="80"/>
                </a:lnTo>
                <a:lnTo>
                  <a:pt x="14" y="81"/>
                </a:lnTo>
                <a:lnTo>
                  <a:pt x="11" y="82"/>
                </a:lnTo>
                <a:lnTo>
                  <a:pt x="10" y="82"/>
                </a:lnTo>
                <a:lnTo>
                  <a:pt x="8" y="83"/>
                </a:lnTo>
                <a:lnTo>
                  <a:pt x="7" y="84"/>
                </a:lnTo>
                <a:lnTo>
                  <a:pt x="6" y="84"/>
                </a:lnTo>
                <a:lnTo>
                  <a:pt x="5" y="85"/>
                </a:lnTo>
                <a:lnTo>
                  <a:pt x="4" y="86"/>
                </a:lnTo>
                <a:lnTo>
                  <a:pt x="3" y="86"/>
                </a:lnTo>
                <a:lnTo>
                  <a:pt x="2" y="87"/>
                </a:lnTo>
                <a:lnTo>
                  <a:pt x="2" y="88"/>
                </a:lnTo>
                <a:lnTo>
                  <a:pt x="1" y="89"/>
                </a:lnTo>
                <a:lnTo>
                  <a:pt x="1" y="90"/>
                </a:lnTo>
                <a:lnTo>
                  <a:pt x="0" y="91"/>
                </a:lnTo>
                <a:lnTo>
                  <a:pt x="0" y="92"/>
                </a:lnTo>
                <a:lnTo>
                  <a:pt x="0" y="93"/>
                </a:lnTo>
                <a:lnTo>
                  <a:pt x="0" y="94"/>
                </a:lnTo>
                <a:lnTo>
                  <a:pt x="0" y="95"/>
                </a:lnTo>
                <a:lnTo>
                  <a:pt x="1" y="96"/>
                </a:lnTo>
                <a:lnTo>
                  <a:pt x="2" y="97"/>
                </a:lnTo>
                <a:lnTo>
                  <a:pt x="3" y="98"/>
                </a:lnTo>
                <a:lnTo>
                  <a:pt x="4" y="99"/>
                </a:lnTo>
                <a:lnTo>
                  <a:pt x="6" y="100"/>
                </a:lnTo>
                <a:lnTo>
                  <a:pt x="7" y="100"/>
                </a:lnTo>
                <a:lnTo>
                  <a:pt x="8" y="101"/>
                </a:lnTo>
                <a:lnTo>
                  <a:pt x="9" y="102"/>
                </a:lnTo>
                <a:lnTo>
                  <a:pt x="11" y="102"/>
                </a:lnTo>
                <a:lnTo>
                  <a:pt x="12" y="103"/>
                </a:lnTo>
                <a:lnTo>
                  <a:pt x="14" y="103"/>
                </a:lnTo>
                <a:lnTo>
                  <a:pt x="15" y="103"/>
                </a:lnTo>
                <a:lnTo>
                  <a:pt x="17" y="104"/>
                </a:lnTo>
                <a:lnTo>
                  <a:pt x="20" y="104"/>
                </a:lnTo>
                <a:lnTo>
                  <a:pt x="24" y="105"/>
                </a:lnTo>
                <a:lnTo>
                  <a:pt x="27" y="105"/>
                </a:lnTo>
                <a:lnTo>
                  <a:pt x="31" y="106"/>
                </a:lnTo>
                <a:lnTo>
                  <a:pt x="35" y="106"/>
                </a:lnTo>
                <a:lnTo>
                  <a:pt x="39" y="106"/>
                </a:lnTo>
                <a:lnTo>
                  <a:pt x="44" y="106"/>
                </a:lnTo>
                <a:lnTo>
                  <a:pt x="48" y="106"/>
                </a:lnTo>
                <a:lnTo>
                  <a:pt x="51" y="106"/>
                </a:lnTo>
                <a:lnTo>
                  <a:pt x="53" y="105"/>
                </a:lnTo>
                <a:lnTo>
                  <a:pt x="55" y="105"/>
                </a:lnTo>
                <a:lnTo>
                  <a:pt x="58" y="105"/>
                </a:lnTo>
                <a:lnTo>
                  <a:pt x="60" y="104"/>
                </a:lnTo>
                <a:lnTo>
                  <a:pt x="62" y="104"/>
                </a:lnTo>
                <a:lnTo>
                  <a:pt x="65" y="104"/>
                </a:lnTo>
                <a:lnTo>
                  <a:pt x="67" y="103"/>
                </a:lnTo>
                <a:lnTo>
                  <a:pt x="69" y="103"/>
                </a:lnTo>
                <a:lnTo>
                  <a:pt x="71" y="102"/>
                </a:lnTo>
                <a:lnTo>
                  <a:pt x="73" y="101"/>
                </a:lnTo>
                <a:lnTo>
                  <a:pt x="76" y="101"/>
                </a:lnTo>
                <a:lnTo>
                  <a:pt x="78" y="100"/>
                </a:lnTo>
                <a:lnTo>
                  <a:pt x="80" y="99"/>
                </a:lnTo>
                <a:lnTo>
                  <a:pt x="81" y="98"/>
                </a:lnTo>
                <a:lnTo>
                  <a:pt x="83" y="98"/>
                </a:lnTo>
                <a:lnTo>
                  <a:pt x="85" y="97"/>
                </a:lnTo>
                <a:lnTo>
                  <a:pt x="87" y="96"/>
                </a:lnTo>
                <a:lnTo>
                  <a:pt x="88" y="95"/>
                </a:lnTo>
                <a:lnTo>
                  <a:pt x="90" y="94"/>
                </a:lnTo>
                <a:lnTo>
                  <a:pt x="91" y="93"/>
                </a:lnTo>
                <a:lnTo>
                  <a:pt x="93" y="91"/>
                </a:lnTo>
                <a:lnTo>
                  <a:pt x="94" y="90"/>
                </a:lnTo>
                <a:lnTo>
                  <a:pt x="95" y="89"/>
                </a:lnTo>
                <a:lnTo>
                  <a:pt x="96" y="88"/>
                </a:lnTo>
                <a:lnTo>
                  <a:pt x="97" y="86"/>
                </a:lnTo>
                <a:lnTo>
                  <a:pt x="97" y="85"/>
                </a:lnTo>
                <a:lnTo>
                  <a:pt x="98" y="83"/>
                </a:lnTo>
                <a:lnTo>
                  <a:pt x="98" y="82"/>
                </a:lnTo>
                <a:lnTo>
                  <a:pt x="99" y="81"/>
                </a:lnTo>
                <a:lnTo>
                  <a:pt x="99" y="80"/>
                </a:lnTo>
                <a:lnTo>
                  <a:pt x="99" y="79"/>
                </a:lnTo>
                <a:lnTo>
                  <a:pt x="99" y="78"/>
                </a:lnTo>
                <a:lnTo>
                  <a:pt x="98" y="77"/>
                </a:lnTo>
                <a:lnTo>
                  <a:pt x="98" y="76"/>
                </a:lnTo>
                <a:lnTo>
                  <a:pt x="97" y="75"/>
                </a:lnTo>
                <a:lnTo>
                  <a:pt x="97" y="74"/>
                </a:lnTo>
                <a:lnTo>
                  <a:pt x="96" y="73"/>
                </a:lnTo>
                <a:lnTo>
                  <a:pt x="95" y="73"/>
                </a:lnTo>
                <a:lnTo>
                  <a:pt x="94" y="72"/>
                </a:lnTo>
                <a:lnTo>
                  <a:pt x="94" y="71"/>
                </a:lnTo>
                <a:lnTo>
                  <a:pt x="93" y="70"/>
                </a:lnTo>
                <a:lnTo>
                  <a:pt x="92" y="70"/>
                </a:lnTo>
                <a:lnTo>
                  <a:pt x="90" y="69"/>
                </a:lnTo>
                <a:lnTo>
                  <a:pt x="89" y="68"/>
                </a:lnTo>
                <a:lnTo>
                  <a:pt x="88" y="68"/>
                </a:lnTo>
                <a:lnTo>
                  <a:pt x="86" y="67"/>
                </a:lnTo>
                <a:lnTo>
                  <a:pt x="83" y="66"/>
                </a:lnTo>
                <a:lnTo>
                  <a:pt x="80" y="65"/>
                </a:lnTo>
                <a:lnTo>
                  <a:pt x="77" y="63"/>
                </a:lnTo>
                <a:lnTo>
                  <a:pt x="73" y="62"/>
                </a:lnTo>
                <a:lnTo>
                  <a:pt x="69" y="61"/>
                </a:lnTo>
                <a:lnTo>
                  <a:pt x="65" y="60"/>
                </a:lnTo>
                <a:lnTo>
                  <a:pt x="62" y="59"/>
                </a:lnTo>
                <a:lnTo>
                  <a:pt x="59" y="58"/>
                </a:lnTo>
                <a:lnTo>
                  <a:pt x="58" y="57"/>
                </a:lnTo>
                <a:lnTo>
                  <a:pt x="57" y="57"/>
                </a:lnTo>
                <a:lnTo>
                  <a:pt x="56" y="56"/>
                </a:lnTo>
                <a:lnTo>
                  <a:pt x="55" y="56"/>
                </a:lnTo>
                <a:lnTo>
                  <a:pt x="55" y="55"/>
                </a:lnTo>
                <a:lnTo>
                  <a:pt x="56" y="55"/>
                </a:lnTo>
                <a:lnTo>
                  <a:pt x="56" y="54"/>
                </a:lnTo>
                <a:lnTo>
                  <a:pt x="57" y="53"/>
                </a:lnTo>
                <a:lnTo>
                  <a:pt x="58" y="52"/>
                </a:lnTo>
                <a:lnTo>
                  <a:pt x="60" y="51"/>
                </a:lnTo>
                <a:lnTo>
                  <a:pt x="61" y="50"/>
                </a:lnTo>
                <a:lnTo>
                  <a:pt x="63" y="51"/>
                </a:lnTo>
                <a:lnTo>
                  <a:pt x="64" y="51"/>
                </a:lnTo>
                <a:lnTo>
                  <a:pt x="66" y="51"/>
                </a:lnTo>
                <a:lnTo>
                  <a:pt x="69" y="51"/>
                </a:lnTo>
                <a:lnTo>
                  <a:pt x="71" y="51"/>
                </a:lnTo>
                <a:lnTo>
                  <a:pt x="73" y="51"/>
                </a:lnTo>
                <a:lnTo>
                  <a:pt x="75" y="51"/>
                </a:lnTo>
                <a:lnTo>
                  <a:pt x="77" y="50"/>
                </a:lnTo>
                <a:lnTo>
                  <a:pt x="79" y="50"/>
                </a:lnTo>
                <a:lnTo>
                  <a:pt x="81" y="50"/>
                </a:lnTo>
                <a:lnTo>
                  <a:pt x="83" y="49"/>
                </a:lnTo>
                <a:lnTo>
                  <a:pt x="85" y="49"/>
                </a:lnTo>
                <a:lnTo>
                  <a:pt x="87" y="48"/>
                </a:lnTo>
                <a:lnTo>
                  <a:pt x="89" y="48"/>
                </a:lnTo>
                <a:lnTo>
                  <a:pt x="91" y="47"/>
                </a:lnTo>
                <a:lnTo>
                  <a:pt x="93" y="46"/>
                </a:lnTo>
                <a:lnTo>
                  <a:pt x="95" y="45"/>
                </a:lnTo>
                <a:lnTo>
                  <a:pt x="97" y="45"/>
                </a:lnTo>
                <a:lnTo>
                  <a:pt x="98" y="44"/>
                </a:lnTo>
                <a:lnTo>
                  <a:pt x="100" y="43"/>
                </a:lnTo>
                <a:lnTo>
                  <a:pt x="102" y="42"/>
                </a:lnTo>
                <a:lnTo>
                  <a:pt x="103" y="41"/>
                </a:lnTo>
                <a:lnTo>
                  <a:pt x="105" y="40"/>
                </a:lnTo>
                <a:lnTo>
                  <a:pt x="106" y="39"/>
                </a:lnTo>
                <a:lnTo>
                  <a:pt x="108" y="38"/>
                </a:lnTo>
                <a:lnTo>
                  <a:pt x="109" y="36"/>
                </a:lnTo>
                <a:lnTo>
                  <a:pt x="110" y="35"/>
                </a:lnTo>
                <a:lnTo>
                  <a:pt x="111" y="34"/>
                </a:lnTo>
                <a:lnTo>
                  <a:pt x="113" y="33"/>
                </a:lnTo>
                <a:lnTo>
                  <a:pt x="113" y="32"/>
                </a:lnTo>
                <a:lnTo>
                  <a:pt x="114" y="30"/>
                </a:lnTo>
                <a:lnTo>
                  <a:pt x="115" y="29"/>
                </a:lnTo>
                <a:lnTo>
                  <a:pt x="116" y="28"/>
                </a:lnTo>
                <a:lnTo>
                  <a:pt x="117" y="26"/>
                </a:lnTo>
                <a:lnTo>
                  <a:pt x="117" y="25"/>
                </a:lnTo>
                <a:lnTo>
                  <a:pt x="118" y="24"/>
                </a:lnTo>
                <a:lnTo>
                  <a:pt x="118" y="22"/>
                </a:lnTo>
                <a:lnTo>
                  <a:pt x="119" y="21"/>
                </a:lnTo>
                <a:lnTo>
                  <a:pt x="119" y="19"/>
                </a:lnTo>
                <a:lnTo>
                  <a:pt x="119" y="18"/>
                </a:lnTo>
                <a:lnTo>
                  <a:pt x="118" y="17"/>
                </a:lnTo>
                <a:lnTo>
                  <a:pt x="118" y="16"/>
                </a:lnTo>
                <a:lnTo>
                  <a:pt x="117" y="15"/>
                </a:lnTo>
                <a:lnTo>
                  <a:pt x="130" y="15"/>
                </a:lnTo>
                <a:lnTo>
                  <a:pt x="138" y="2"/>
                </a:lnTo>
                <a:close/>
                <a:moveTo>
                  <a:pt x="68" y="33"/>
                </a:moveTo>
                <a:lnTo>
                  <a:pt x="68" y="32"/>
                </a:lnTo>
                <a:lnTo>
                  <a:pt x="69" y="31"/>
                </a:lnTo>
                <a:lnTo>
                  <a:pt x="70" y="29"/>
                </a:lnTo>
                <a:lnTo>
                  <a:pt x="70" y="27"/>
                </a:lnTo>
                <a:lnTo>
                  <a:pt x="72" y="26"/>
                </a:lnTo>
                <a:lnTo>
                  <a:pt x="73" y="24"/>
                </a:lnTo>
                <a:lnTo>
                  <a:pt x="74" y="22"/>
                </a:lnTo>
                <a:lnTo>
                  <a:pt x="75" y="20"/>
                </a:lnTo>
                <a:lnTo>
                  <a:pt x="77" y="19"/>
                </a:lnTo>
                <a:lnTo>
                  <a:pt x="78" y="17"/>
                </a:lnTo>
                <a:lnTo>
                  <a:pt x="80" y="16"/>
                </a:lnTo>
                <a:lnTo>
                  <a:pt x="81" y="15"/>
                </a:lnTo>
                <a:lnTo>
                  <a:pt x="82" y="14"/>
                </a:lnTo>
                <a:lnTo>
                  <a:pt x="83" y="14"/>
                </a:lnTo>
                <a:lnTo>
                  <a:pt x="83" y="13"/>
                </a:lnTo>
                <a:lnTo>
                  <a:pt x="84" y="13"/>
                </a:lnTo>
                <a:lnTo>
                  <a:pt x="85" y="13"/>
                </a:lnTo>
                <a:lnTo>
                  <a:pt x="86" y="13"/>
                </a:lnTo>
                <a:lnTo>
                  <a:pt x="87" y="12"/>
                </a:lnTo>
                <a:lnTo>
                  <a:pt x="88" y="12"/>
                </a:lnTo>
                <a:lnTo>
                  <a:pt x="89" y="13"/>
                </a:lnTo>
                <a:lnTo>
                  <a:pt x="90" y="13"/>
                </a:lnTo>
                <a:lnTo>
                  <a:pt x="91" y="14"/>
                </a:lnTo>
                <a:lnTo>
                  <a:pt x="91" y="15"/>
                </a:lnTo>
                <a:lnTo>
                  <a:pt x="91" y="16"/>
                </a:lnTo>
                <a:lnTo>
                  <a:pt x="91" y="17"/>
                </a:lnTo>
                <a:lnTo>
                  <a:pt x="91" y="18"/>
                </a:lnTo>
                <a:lnTo>
                  <a:pt x="90" y="19"/>
                </a:lnTo>
                <a:lnTo>
                  <a:pt x="90" y="21"/>
                </a:lnTo>
                <a:lnTo>
                  <a:pt x="89" y="22"/>
                </a:lnTo>
                <a:lnTo>
                  <a:pt x="88" y="24"/>
                </a:lnTo>
                <a:lnTo>
                  <a:pt x="87" y="26"/>
                </a:lnTo>
                <a:lnTo>
                  <a:pt x="86" y="27"/>
                </a:lnTo>
                <a:lnTo>
                  <a:pt x="85" y="29"/>
                </a:lnTo>
                <a:lnTo>
                  <a:pt x="83" y="31"/>
                </a:lnTo>
                <a:lnTo>
                  <a:pt x="82" y="33"/>
                </a:lnTo>
                <a:lnTo>
                  <a:pt x="81" y="34"/>
                </a:lnTo>
                <a:lnTo>
                  <a:pt x="80" y="35"/>
                </a:lnTo>
                <a:lnTo>
                  <a:pt x="79" y="36"/>
                </a:lnTo>
                <a:lnTo>
                  <a:pt x="78" y="36"/>
                </a:lnTo>
                <a:lnTo>
                  <a:pt x="78" y="37"/>
                </a:lnTo>
                <a:lnTo>
                  <a:pt x="77" y="37"/>
                </a:lnTo>
                <a:lnTo>
                  <a:pt x="76" y="38"/>
                </a:lnTo>
                <a:lnTo>
                  <a:pt x="75" y="38"/>
                </a:lnTo>
                <a:lnTo>
                  <a:pt x="75" y="39"/>
                </a:lnTo>
                <a:lnTo>
                  <a:pt x="74" y="39"/>
                </a:lnTo>
                <a:lnTo>
                  <a:pt x="73" y="39"/>
                </a:lnTo>
                <a:lnTo>
                  <a:pt x="72" y="39"/>
                </a:lnTo>
                <a:lnTo>
                  <a:pt x="71" y="39"/>
                </a:lnTo>
                <a:lnTo>
                  <a:pt x="70" y="39"/>
                </a:lnTo>
                <a:lnTo>
                  <a:pt x="69" y="39"/>
                </a:lnTo>
                <a:lnTo>
                  <a:pt x="68" y="39"/>
                </a:lnTo>
                <a:lnTo>
                  <a:pt x="68" y="38"/>
                </a:lnTo>
                <a:lnTo>
                  <a:pt x="67" y="37"/>
                </a:lnTo>
                <a:lnTo>
                  <a:pt x="67" y="36"/>
                </a:lnTo>
                <a:lnTo>
                  <a:pt x="67" y="35"/>
                </a:lnTo>
                <a:lnTo>
                  <a:pt x="67" y="34"/>
                </a:lnTo>
                <a:lnTo>
                  <a:pt x="68" y="34"/>
                </a:lnTo>
                <a:lnTo>
                  <a:pt x="68" y="33"/>
                </a:lnTo>
                <a:close/>
                <a:moveTo>
                  <a:pt x="46" y="94"/>
                </a:moveTo>
                <a:lnTo>
                  <a:pt x="44" y="94"/>
                </a:lnTo>
                <a:lnTo>
                  <a:pt x="41" y="93"/>
                </a:lnTo>
                <a:lnTo>
                  <a:pt x="40" y="93"/>
                </a:lnTo>
                <a:lnTo>
                  <a:pt x="39" y="93"/>
                </a:lnTo>
                <a:lnTo>
                  <a:pt x="38" y="93"/>
                </a:lnTo>
                <a:lnTo>
                  <a:pt x="37" y="93"/>
                </a:lnTo>
                <a:lnTo>
                  <a:pt x="36" y="92"/>
                </a:lnTo>
                <a:lnTo>
                  <a:pt x="35" y="92"/>
                </a:lnTo>
                <a:lnTo>
                  <a:pt x="34" y="91"/>
                </a:lnTo>
                <a:lnTo>
                  <a:pt x="33" y="91"/>
                </a:lnTo>
                <a:lnTo>
                  <a:pt x="33" y="90"/>
                </a:lnTo>
                <a:lnTo>
                  <a:pt x="32" y="90"/>
                </a:lnTo>
                <a:lnTo>
                  <a:pt x="32" y="89"/>
                </a:lnTo>
                <a:lnTo>
                  <a:pt x="32" y="88"/>
                </a:lnTo>
                <a:lnTo>
                  <a:pt x="33" y="87"/>
                </a:lnTo>
                <a:lnTo>
                  <a:pt x="34" y="86"/>
                </a:lnTo>
                <a:lnTo>
                  <a:pt x="34" y="85"/>
                </a:lnTo>
                <a:lnTo>
                  <a:pt x="35" y="85"/>
                </a:lnTo>
                <a:lnTo>
                  <a:pt x="36" y="84"/>
                </a:lnTo>
                <a:lnTo>
                  <a:pt x="37" y="83"/>
                </a:lnTo>
                <a:lnTo>
                  <a:pt x="38" y="83"/>
                </a:lnTo>
                <a:lnTo>
                  <a:pt x="41" y="82"/>
                </a:lnTo>
                <a:lnTo>
                  <a:pt x="43" y="81"/>
                </a:lnTo>
                <a:lnTo>
                  <a:pt x="46" y="79"/>
                </a:lnTo>
                <a:lnTo>
                  <a:pt x="48" y="79"/>
                </a:lnTo>
                <a:lnTo>
                  <a:pt x="53" y="80"/>
                </a:lnTo>
                <a:lnTo>
                  <a:pt x="56" y="81"/>
                </a:lnTo>
                <a:lnTo>
                  <a:pt x="59" y="82"/>
                </a:lnTo>
                <a:lnTo>
                  <a:pt x="61" y="83"/>
                </a:lnTo>
                <a:lnTo>
                  <a:pt x="62" y="84"/>
                </a:lnTo>
                <a:lnTo>
                  <a:pt x="64" y="85"/>
                </a:lnTo>
                <a:lnTo>
                  <a:pt x="65" y="85"/>
                </a:lnTo>
                <a:lnTo>
                  <a:pt x="65" y="86"/>
                </a:lnTo>
                <a:lnTo>
                  <a:pt x="65" y="87"/>
                </a:lnTo>
                <a:lnTo>
                  <a:pt x="65" y="88"/>
                </a:lnTo>
                <a:lnTo>
                  <a:pt x="65" y="89"/>
                </a:lnTo>
                <a:lnTo>
                  <a:pt x="64" y="89"/>
                </a:lnTo>
                <a:lnTo>
                  <a:pt x="63" y="90"/>
                </a:lnTo>
                <a:lnTo>
                  <a:pt x="62" y="91"/>
                </a:lnTo>
                <a:lnTo>
                  <a:pt x="61" y="91"/>
                </a:lnTo>
                <a:lnTo>
                  <a:pt x="60" y="92"/>
                </a:lnTo>
                <a:lnTo>
                  <a:pt x="59" y="92"/>
                </a:lnTo>
                <a:lnTo>
                  <a:pt x="57" y="93"/>
                </a:lnTo>
                <a:lnTo>
                  <a:pt x="56" y="93"/>
                </a:lnTo>
                <a:lnTo>
                  <a:pt x="54" y="93"/>
                </a:lnTo>
                <a:lnTo>
                  <a:pt x="53" y="93"/>
                </a:lnTo>
                <a:lnTo>
                  <a:pt x="51" y="93"/>
                </a:lnTo>
                <a:lnTo>
                  <a:pt x="49" y="94"/>
                </a:lnTo>
                <a:lnTo>
                  <a:pt x="46" y="94"/>
                </a:lnTo>
                <a:close/>
              </a:path>
            </a:pathLst>
          </a:custGeom>
          <a:solidFill>
            <a:srgbClr val="00593C"/>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303866" name="Freeform 9">
            <a:extLst>
              <a:ext uri="{FF2B5EF4-FFF2-40B4-BE49-F238E27FC236}">
                <a16:creationId xmlns:a16="http://schemas.microsoft.com/office/drawing/2014/main" id="{96B0AE0E-59CB-4135-9B92-7E5E36AEFC73}"/>
              </a:ext>
            </a:extLst>
          </xdr:cNvPr>
          <xdr:cNvSpPr>
            <a:spLocks/>
          </xdr:cNvSpPr>
        </xdr:nvSpPr>
        <xdr:spPr bwMode="auto">
          <a:xfrm>
            <a:off x="1124" y="1768"/>
            <a:ext cx="87" cy="75"/>
          </a:xfrm>
          <a:custGeom>
            <a:avLst/>
            <a:gdLst>
              <a:gd name="T0" fmla="*/ 0 w 107"/>
              <a:gd name="T1" fmla="*/ 19 h 77"/>
              <a:gd name="T2" fmla="*/ 2 w 107"/>
              <a:gd name="T3" fmla="*/ 19 h 77"/>
              <a:gd name="T4" fmla="*/ 2 w 107"/>
              <a:gd name="T5" fmla="*/ 19 h 77"/>
              <a:gd name="T6" fmla="*/ 2 w 107"/>
              <a:gd name="T7" fmla="*/ 19 h 77"/>
              <a:gd name="T8" fmla="*/ 2 w 107"/>
              <a:gd name="T9" fmla="*/ 19 h 77"/>
              <a:gd name="T10" fmla="*/ 2 w 107"/>
              <a:gd name="T11" fmla="*/ 19 h 77"/>
              <a:gd name="T12" fmla="*/ 2 w 107"/>
              <a:gd name="T13" fmla="*/ 19 h 77"/>
              <a:gd name="T14" fmla="*/ 2 w 107"/>
              <a:gd name="T15" fmla="*/ 19 h 77"/>
              <a:gd name="T16" fmla="*/ 2 w 107"/>
              <a:gd name="T17" fmla="*/ 19 h 77"/>
              <a:gd name="T18" fmla="*/ 2 w 107"/>
              <a:gd name="T19" fmla="*/ 19 h 77"/>
              <a:gd name="T20" fmla="*/ 2 w 107"/>
              <a:gd name="T21" fmla="*/ 19 h 77"/>
              <a:gd name="T22" fmla="*/ 2 w 107"/>
              <a:gd name="T23" fmla="*/ 19 h 77"/>
              <a:gd name="T24" fmla="*/ 2 w 107"/>
              <a:gd name="T25" fmla="*/ 19 h 77"/>
              <a:gd name="T26" fmla="*/ 2 w 107"/>
              <a:gd name="T27" fmla="*/ 19 h 77"/>
              <a:gd name="T28" fmla="*/ 2 w 107"/>
              <a:gd name="T29" fmla="*/ 19 h 77"/>
              <a:gd name="T30" fmla="*/ 2 w 107"/>
              <a:gd name="T31" fmla="*/ 19 h 77"/>
              <a:gd name="T32" fmla="*/ 2 w 107"/>
              <a:gd name="T33" fmla="*/ 19 h 77"/>
              <a:gd name="T34" fmla="*/ 2 w 107"/>
              <a:gd name="T35" fmla="*/ 19 h 77"/>
              <a:gd name="T36" fmla="*/ 2 w 107"/>
              <a:gd name="T37" fmla="*/ 1 h 77"/>
              <a:gd name="T38" fmla="*/ 2 w 107"/>
              <a:gd name="T39" fmla="*/ 1 h 77"/>
              <a:gd name="T40" fmla="*/ 2 w 107"/>
              <a:gd name="T41" fmla="*/ 0 h 77"/>
              <a:gd name="T42" fmla="*/ 2 w 107"/>
              <a:gd name="T43" fmla="*/ 1 h 77"/>
              <a:gd name="T44" fmla="*/ 2 w 107"/>
              <a:gd name="T45" fmla="*/ 1 h 77"/>
              <a:gd name="T46" fmla="*/ 2 w 107"/>
              <a:gd name="T47" fmla="*/ 2 h 77"/>
              <a:gd name="T48" fmla="*/ 2 w 107"/>
              <a:gd name="T49" fmla="*/ 4 h 77"/>
              <a:gd name="T50" fmla="*/ 2 w 107"/>
              <a:gd name="T51" fmla="*/ 5 h 77"/>
              <a:gd name="T52" fmla="*/ 2 w 107"/>
              <a:gd name="T53" fmla="*/ 7 h 77"/>
              <a:gd name="T54" fmla="*/ 2 w 107"/>
              <a:gd name="T55" fmla="*/ 9 h 77"/>
              <a:gd name="T56" fmla="*/ 2 w 107"/>
              <a:gd name="T57" fmla="*/ 12 h 77"/>
              <a:gd name="T58" fmla="*/ 2 w 107"/>
              <a:gd name="T59" fmla="*/ 16 h 77"/>
              <a:gd name="T60" fmla="*/ 2 w 107"/>
              <a:gd name="T61" fmla="*/ 19 h 77"/>
              <a:gd name="T62" fmla="*/ 2 w 107"/>
              <a:gd name="T63" fmla="*/ 19 h 77"/>
              <a:gd name="T64" fmla="*/ 2 w 107"/>
              <a:gd name="T65" fmla="*/ 2 h 77"/>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w 107"/>
              <a:gd name="T100" fmla="*/ 0 h 77"/>
              <a:gd name="T101" fmla="*/ 107 w 107"/>
              <a:gd name="T102" fmla="*/ 77 h 77"/>
            </a:gdLst>
            <a:ahLst/>
            <a:cxnLst>
              <a:cxn ang="T66">
                <a:pos x="T0" y="T1"/>
              </a:cxn>
              <a:cxn ang="T67">
                <a:pos x="T2" y="T3"/>
              </a:cxn>
              <a:cxn ang="T68">
                <a:pos x="T4" y="T5"/>
              </a:cxn>
              <a:cxn ang="T69">
                <a:pos x="T6" y="T7"/>
              </a:cxn>
              <a:cxn ang="T70">
                <a:pos x="T8" y="T9"/>
              </a:cxn>
              <a:cxn ang="T71">
                <a:pos x="T10" y="T11"/>
              </a:cxn>
              <a:cxn ang="T72">
                <a:pos x="T12" y="T13"/>
              </a:cxn>
              <a:cxn ang="T73">
                <a:pos x="T14" y="T15"/>
              </a:cxn>
              <a:cxn ang="T74">
                <a:pos x="T16" y="T17"/>
              </a:cxn>
              <a:cxn ang="T75">
                <a:pos x="T18" y="T19"/>
              </a:cxn>
              <a:cxn ang="T76">
                <a:pos x="T20" y="T21"/>
              </a:cxn>
              <a:cxn ang="T77">
                <a:pos x="T22" y="T23"/>
              </a:cxn>
              <a:cxn ang="T78">
                <a:pos x="T24" y="T25"/>
              </a:cxn>
              <a:cxn ang="T79">
                <a:pos x="T26" y="T27"/>
              </a:cxn>
              <a:cxn ang="T80">
                <a:pos x="T28" y="T29"/>
              </a:cxn>
              <a:cxn ang="T81">
                <a:pos x="T30" y="T31"/>
              </a:cxn>
              <a:cxn ang="T82">
                <a:pos x="T32" y="T33"/>
              </a:cxn>
              <a:cxn ang="T83">
                <a:pos x="T34" y="T35"/>
              </a:cxn>
              <a:cxn ang="T84">
                <a:pos x="T36" y="T37"/>
              </a:cxn>
              <a:cxn ang="T85">
                <a:pos x="T38" y="T39"/>
              </a:cxn>
              <a:cxn ang="T86">
                <a:pos x="T40" y="T41"/>
              </a:cxn>
              <a:cxn ang="T87">
                <a:pos x="T42" y="T43"/>
              </a:cxn>
              <a:cxn ang="T88">
                <a:pos x="T44" y="T45"/>
              </a:cxn>
              <a:cxn ang="T89">
                <a:pos x="T46" y="T47"/>
              </a:cxn>
              <a:cxn ang="T90">
                <a:pos x="T48" y="T49"/>
              </a:cxn>
              <a:cxn ang="T91">
                <a:pos x="T50" y="T51"/>
              </a:cxn>
              <a:cxn ang="T92">
                <a:pos x="T52" y="T53"/>
              </a:cxn>
              <a:cxn ang="T93">
                <a:pos x="T54" y="T55"/>
              </a:cxn>
              <a:cxn ang="T94">
                <a:pos x="T56" y="T57"/>
              </a:cxn>
              <a:cxn ang="T95">
                <a:pos x="T58" y="T59"/>
              </a:cxn>
              <a:cxn ang="T96">
                <a:pos x="T60" y="T61"/>
              </a:cxn>
              <a:cxn ang="T97">
                <a:pos x="T62" y="T63"/>
              </a:cxn>
              <a:cxn ang="T98">
                <a:pos x="T64" y="T65"/>
              </a:cxn>
            </a:cxnLst>
            <a:rect l="T99" t="T100" r="T101" b="T102"/>
            <a:pathLst>
              <a:path w="107" h="77">
                <a:moveTo>
                  <a:pt x="45" y="2"/>
                </a:moveTo>
                <a:lnTo>
                  <a:pt x="0" y="77"/>
                </a:lnTo>
                <a:lnTo>
                  <a:pt x="31" y="77"/>
                </a:lnTo>
                <a:lnTo>
                  <a:pt x="35" y="71"/>
                </a:lnTo>
                <a:lnTo>
                  <a:pt x="39" y="66"/>
                </a:lnTo>
                <a:lnTo>
                  <a:pt x="41" y="63"/>
                </a:lnTo>
                <a:lnTo>
                  <a:pt x="43" y="60"/>
                </a:lnTo>
                <a:lnTo>
                  <a:pt x="45" y="57"/>
                </a:lnTo>
                <a:lnTo>
                  <a:pt x="47" y="55"/>
                </a:lnTo>
                <a:lnTo>
                  <a:pt x="49" y="52"/>
                </a:lnTo>
                <a:lnTo>
                  <a:pt x="51" y="49"/>
                </a:lnTo>
                <a:lnTo>
                  <a:pt x="53" y="47"/>
                </a:lnTo>
                <a:lnTo>
                  <a:pt x="55" y="44"/>
                </a:lnTo>
                <a:lnTo>
                  <a:pt x="57" y="42"/>
                </a:lnTo>
                <a:lnTo>
                  <a:pt x="59" y="40"/>
                </a:lnTo>
                <a:lnTo>
                  <a:pt x="61" y="38"/>
                </a:lnTo>
                <a:lnTo>
                  <a:pt x="64" y="35"/>
                </a:lnTo>
                <a:lnTo>
                  <a:pt x="65" y="34"/>
                </a:lnTo>
                <a:lnTo>
                  <a:pt x="67" y="33"/>
                </a:lnTo>
                <a:lnTo>
                  <a:pt x="69" y="31"/>
                </a:lnTo>
                <a:lnTo>
                  <a:pt x="70" y="30"/>
                </a:lnTo>
                <a:lnTo>
                  <a:pt x="72" y="29"/>
                </a:lnTo>
                <a:lnTo>
                  <a:pt x="73" y="28"/>
                </a:lnTo>
                <a:lnTo>
                  <a:pt x="75" y="27"/>
                </a:lnTo>
                <a:lnTo>
                  <a:pt x="77" y="26"/>
                </a:lnTo>
                <a:lnTo>
                  <a:pt x="78" y="25"/>
                </a:lnTo>
                <a:lnTo>
                  <a:pt x="80" y="24"/>
                </a:lnTo>
                <a:lnTo>
                  <a:pt x="82" y="23"/>
                </a:lnTo>
                <a:lnTo>
                  <a:pt x="83" y="23"/>
                </a:lnTo>
                <a:lnTo>
                  <a:pt x="85" y="22"/>
                </a:lnTo>
                <a:lnTo>
                  <a:pt x="86" y="22"/>
                </a:lnTo>
                <a:lnTo>
                  <a:pt x="88" y="22"/>
                </a:lnTo>
                <a:lnTo>
                  <a:pt x="89" y="22"/>
                </a:lnTo>
                <a:lnTo>
                  <a:pt x="91" y="22"/>
                </a:lnTo>
                <a:lnTo>
                  <a:pt x="92" y="22"/>
                </a:lnTo>
                <a:lnTo>
                  <a:pt x="93" y="22"/>
                </a:lnTo>
                <a:lnTo>
                  <a:pt x="94" y="22"/>
                </a:lnTo>
                <a:lnTo>
                  <a:pt x="107" y="1"/>
                </a:lnTo>
                <a:lnTo>
                  <a:pt x="106" y="1"/>
                </a:lnTo>
                <a:lnTo>
                  <a:pt x="105" y="1"/>
                </a:lnTo>
                <a:lnTo>
                  <a:pt x="104" y="1"/>
                </a:lnTo>
                <a:lnTo>
                  <a:pt x="102" y="0"/>
                </a:lnTo>
                <a:lnTo>
                  <a:pt x="101" y="1"/>
                </a:lnTo>
                <a:lnTo>
                  <a:pt x="99" y="1"/>
                </a:lnTo>
                <a:lnTo>
                  <a:pt x="97" y="1"/>
                </a:lnTo>
                <a:lnTo>
                  <a:pt x="96" y="1"/>
                </a:lnTo>
                <a:lnTo>
                  <a:pt x="94" y="2"/>
                </a:lnTo>
                <a:lnTo>
                  <a:pt x="92" y="2"/>
                </a:lnTo>
                <a:lnTo>
                  <a:pt x="91" y="3"/>
                </a:lnTo>
                <a:lnTo>
                  <a:pt x="89" y="4"/>
                </a:lnTo>
                <a:lnTo>
                  <a:pt x="88" y="4"/>
                </a:lnTo>
                <a:lnTo>
                  <a:pt x="86" y="5"/>
                </a:lnTo>
                <a:lnTo>
                  <a:pt x="85" y="6"/>
                </a:lnTo>
                <a:lnTo>
                  <a:pt x="83" y="7"/>
                </a:lnTo>
                <a:lnTo>
                  <a:pt x="81" y="8"/>
                </a:lnTo>
                <a:lnTo>
                  <a:pt x="80" y="9"/>
                </a:lnTo>
                <a:lnTo>
                  <a:pt x="79" y="10"/>
                </a:lnTo>
                <a:lnTo>
                  <a:pt x="77" y="12"/>
                </a:lnTo>
                <a:lnTo>
                  <a:pt x="74" y="14"/>
                </a:lnTo>
                <a:lnTo>
                  <a:pt x="72" y="16"/>
                </a:lnTo>
                <a:lnTo>
                  <a:pt x="69" y="19"/>
                </a:lnTo>
                <a:lnTo>
                  <a:pt x="66" y="22"/>
                </a:lnTo>
                <a:lnTo>
                  <a:pt x="62" y="27"/>
                </a:lnTo>
                <a:lnTo>
                  <a:pt x="57" y="31"/>
                </a:lnTo>
                <a:lnTo>
                  <a:pt x="75" y="2"/>
                </a:lnTo>
                <a:lnTo>
                  <a:pt x="45" y="2"/>
                </a:lnTo>
                <a:close/>
              </a:path>
            </a:pathLst>
          </a:custGeom>
          <a:solidFill>
            <a:srgbClr val="00593C"/>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303867" name="Freeform 10">
            <a:extLst>
              <a:ext uri="{FF2B5EF4-FFF2-40B4-BE49-F238E27FC236}">
                <a16:creationId xmlns:a16="http://schemas.microsoft.com/office/drawing/2014/main" id="{DC94D280-5506-4EBF-97D4-A4A89B2D335D}"/>
              </a:ext>
            </a:extLst>
          </xdr:cNvPr>
          <xdr:cNvSpPr>
            <a:spLocks noEditPoints="1"/>
          </xdr:cNvSpPr>
        </xdr:nvSpPr>
        <xdr:spPr bwMode="auto">
          <a:xfrm>
            <a:off x="1186" y="1737"/>
            <a:ext cx="78" cy="106"/>
          </a:xfrm>
          <a:custGeom>
            <a:avLst/>
            <a:gdLst>
              <a:gd name="T0" fmla="*/ 2 w 96"/>
              <a:gd name="T1" fmla="*/ 27 h 108"/>
              <a:gd name="T2" fmla="*/ 0 w 96"/>
              <a:gd name="T3" fmla="*/ 27 h 108"/>
              <a:gd name="T4" fmla="*/ 2 w 96"/>
              <a:gd name="T5" fmla="*/ 27 h 108"/>
              <a:gd name="T6" fmla="*/ 2 w 96"/>
              <a:gd name="T7" fmla="*/ 27 h 108"/>
              <a:gd name="T8" fmla="*/ 2 w 96"/>
              <a:gd name="T9" fmla="*/ 27 h 108"/>
              <a:gd name="T10" fmla="*/ 2 w 96"/>
              <a:gd name="T11" fmla="*/ 0 h 108"/>
              <a:gd name="T12" fmla="*/ 2 w 96"/>
              <a:gd name="T13" fmla="*/ 17 h 108"/>
              <a:gd name="T14" fmla="*/ 2 w 96"/>
              <a:gd name="T15" fmla="*/ 25 h 108"/>
              <a:gd name="T16" fmla="*/ 2 w 96"/>
              <a:gd name="T17" fmla="*/ 19 h 108"/>
              <a:gd name="T18" fmla="*/ 2 w 96"/>
              <a:gd name="T19" fmla="*/ 0 h 108"/>
              <a:gd name="T20" fmla="*/ 0 60000 65536"/>
              <a:gd name="T21" fmla="*/ 0 60000 65536"/>
              <a:gd name="T22" fmla="*/ 0 60000 65536"/>
              <a:gd name="T23" fmla="*/ 0 60000 65536"/>
              <a:gd name="T24" fmla="*/ 0 60000 65536"/>
              <a:gd name="T25" fmla="*/ 0 60000 65536"/>
              <a:gd name="T26" fmla="*/ 0 60000 65536"/>
              <a:gd name="T27" fmla="*/ 0 60000 65536"/>
              <a:gd name="T28" fmla="*/ 0 60000 65536"/>
              <a:gd name="T29" fmla="*/ 0 60000 65536"/>
              <a:gd name="T30" fmla="*/ 0 w 96"/>
              <a:gd name="T31" fmla="*/ 0 h 108"/>
              <a:gd name="T32" fmla="*/ 96 w 96"/>
              <a:gd name="T33" fmla="*/ 108 h 108"/>
            </a:gdLst>
            <a:ahLst/>
            <a:cxnLst>
              <a:cxn ang="T20">
                <a:pos x="T0" y="T1"/>
              </a:cxn>
              <a:cxn ang="T21">
                <a:pos x="T2" y="T3"/>
              </a:cxn>
              <a:cxn ang="T22">
                <a:pos x="T4" y="T5"/>
              </a:cxn>
              <a:cxn ang="T23">
                <a:pos x="T6" y="T7"/>
              </a:cxn>
              <a:cxn ang="T24">
                <a:pos x="T8" y="T9"/>
              </a:cxn>
              <a:cxn ang="T25">
                <a:pos x="T10" y="T11"/>
              </a:cxn>
              <a:cxn ang="T26">
                <a:pos x="T12" y="T13"/>
              </a:cxn>
              <a:cxn ang="T27">
                <a:pos x="T14" y="T15"/>
              </a:cxn>
              <a:cxn ang="T28">
                <a:pos x="T16" y="T17"/>
              </a:cxn>
              <a:cxn ang="T29">
                <a:pos x="T18" y="T19"/>
              </a:cxn>
            </a:cxnLst>
            <a:rect l="T30" t="T31" r="T32" b="T33"/>
            <a:pathLst>
              <a:path w="96" h="108">
                <a:moveTo>
                  <a:pt x="44" y="33"/>
                </a:moveTo>
                <a:lnTo>
                  <a:pt x="0" y="108"/>
                </a:lnTo>
                <a:lnTo>
                  <a:pt x="32" y="108"/>
                </a:lnTo>
                <a:lnTo>
                  <a:pt x="77" y="33"/>
                </a:lnTo>
                <a:lnTo>
                  <a:pt x="44" y="33"/>
                </a:lnTo>
                <a:close/>
                <a:moveTo>
                  <a:pt x="94" y="0"/>
                </a:moveTo>
                <a:lnTo>
                  <a:pt x="48" y="17"/>
                </a:lnTo>
                <a:lnTo>
                  <a:pt x="49" y="25"/>
                </a:lnTo>
                <a:lnTo>
                  <a:pt x="96" y="19"/>
                </a:lnTo>
                <a:lnTo>
                  <a:pt x="94" y="0"/>
                </a:lnTo>
                <a:close/>
              </a:path>
            </a:pathLst>
          </a:custGeom>
          <a:solidFill>
            <a:srgbClr val="00593C"/>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303868" name="Freeform 11">
            <a:extLst>
              <a:ext uri="{FF2B5EF4-FFF2-40B4-BE49-F238E27FC236}">
                <a16:creationId xmlns:a16="http://schemas.microsoft.com/office/drawing/2014/main" id="{55B8FBE3-46BC-48C9-A16D-B354779EE2C1}"/>
              </a:ext>
            </a:extLst>
          </xdr:cNvPr>
          <xdr:cNvSpPr>
            <a:spLocks/>
          </xdr:cNvSpPr>
        </xdr:nvSpPr>
        <xdr:spPr bwMode="auto">
          <a:xfrm>
            <a:off x="1239" y="1768"/>
            <a:ext cx="87" cy="76"/>
          </a:xfrm>
          <a:custGeom>
            <a:avLst/>
            <a:gdLst>
              <a:gd name="T0" fmla="*/ 2 w 107"/>
              <a:gd name="T1" fmla="*/ 2 h 78"/>
              <a:gd name="T2" fmla="*/ 2 w 107"/>
              <a:gd name="T3" fmla="*/ 1 h 78"/>
              <a:gd name="T4" fmla="*/ 2 w 107"/>
              <a:gd name="T5" fmla="*/ 0 h 78"/>
              <a:gd name="T6" fmla="*/ 2 w 107"/>
              <a:gd name="T7" fmla="*/ 1 h 78"/>
              <a:gd name="T8" fmla="*/ 2 w 107"/>
              <a:gd name="T9" fmla="*/ 4 h 78"/>
              <a:gd name="T10" fmla="*/ 2 w 107"/>
              <a:gd name="T11" fmla="*/ 7 h 78"/>
              <a:gd name="T12" fmla="*/ 2 w 107"/>
              <a:gd name="T13" fmla="*/ 12 h 78"/>
              <a:gd name="T14" fmla="*/ 2 w 107"/>
              <a:gd name="T15" fmla="*/ 17 h 78"/>
              <a:gd name="T16" fmla="*/ 2 w 107"/>
              <a:gd name="T17" fmla="*/ 19 h 78"/>
              <a:gd name="T18" fmla="*/ 2 w 107"/>
              <a:gd name="T19" fmla="*/ 19 h 78"/>
              <a:gd name="T20" fmla="*/ 2 w 107"/>
              <a:gd name="T21" fmla="*/ 19 h 78"/>
              <a:gd name="T22" fmla="*/ 2 w 107"/>
              <a:gd name="T23" fmla="*/ 19 h 78"/>
              <a:gd name="T24" fmla="*/ 2 w 107"/>
              <a:gd name="T25" fmla="*/ 19 h 78"/>
              <a:gd name="T26" fmla="*/ 1 w 107"/>
              <a:gd name="T27" fmla="*/ 19 h 78"/>
              <a:gd name="T28" fmla="*/ 0 w 107"/>
              <a:gd name="T29" fmla="*/ 19 h 78"/>
              <a:gd name="T30" fmla="*/ 0 w 107"/>
              <a:gd name="T31" fmla="*/ 19 h 78"/>
              <a:gd name="T32" fmla="*/ 1 w 107"/>
              <a:gd name="T33" fmla="*/ 19 h 78"/>
              <a:gd name="T34" fmla="*/ 2 w 107"/>
              <a:gd name="T35" fmla="*/ 19 h 78"/>
              <a:gd name="T36" fmla="*/ 2 w 107"/>
              <a:gd name="T37" fmla="*/ 19 h 78"/>
              <a:gd name="T38" fmla="*/ 2 w 107"/>
              <a:gd name="T39" fmla="*/ 19 h 78"/>
              <a:gd name="T40" fmla="*/ 2 w 107"/>
              <a:gd name="T41" fmla="*/ 19 h 78"/>
              <a:gd name="T42" fmla="*/ 2 w 107"/>
              <a:gd name="T43" fmla="*/ 19 h 78"/>
              <a:gd name="T44" fmla="*/ 2 w 107"/>
              <a:gd name="T45" fmla="*/ 19 h 78"/>
              <a:gd name="T46" fmla="*/ 2 w 107"/>
              <a:gd name="T47" fmla="*/ 19 h 78"/>
              <a:gd name="T48" fmla="*/ 2 w 107"/>
              <a:gd name="T49" fmla="*/ 19 h 78"/>
              <a:gd name="T50" fmla="*/ 2 w 107"/>
              <a:gd name="T51" fmla="*/ 19 h 78"/>
              <a:gd name="T52" fmla="*/ 2 w 107"/>
              <a:gd name="T53" fmla="*/ 19 h 78"/>
              <a:gd name="T54" fmla="*/ 2 w 107"/>
              <a:gd name="T55" fmla="*/ 19 h 78"/>
              <a:gd name="T56" fmla="*/ 2 w 107"/>
              <a:gd name="T57" fmla="*/ 19 h 78"/>
              <a:gd name="T58" fmla="*/ 2 w 107"/>
              <a:gd name="T59" fmla="*/ 19 h 78"/>
              <a:gd name="T60" fmla="*/ 2 w 107"/>
              <a:gd name="T61" fmla="*/ 19 h 78"/>
              <a:gd name="T62" fmla="*/ 2 w 107"/>
              <a:gd name="T63" fmla="*/ 19 h 78"/>
              <a:gd name="T64" fmla="*/ 2 w 107"/>
              <a:gd name="T65" fmla="*/ 19 h 78"/>
              <a:gd name="T66" fmla="*/ 2 w 107"/>
              <a:gd name="T67" fmla="*/ 19 h 78"/>
              <a:gd name="T68" fmla="*/ 2 w 107"/>
              <a:gd name="T69" fmla="*/ 19 h 78"/>
              <a:gd name="T70" fmla="*/ 2 w 107"/>
              <a:gd name="T71" fmla="*/ 19 h 78"/>
              <a:gd name="T72" fmla="*/ 2 w 107"/>
              <a:gd name="T73" fmla="*/ 19 h 78"/>
              <a:gd name="T74" fmla="*/ 2 w 107"/>
              <a:gd name="T75" fmla="*/ 19 h 78"/>
              <a:gd name="T76" fmla="*/ 2 w 107"/>
              <a:gd name="T77" fmla="*/ 19 h 78"/>
              <a:gd name="T78" fmla="*/ 2 w 107"/>
              <a:gd name="T79" fmla="*/ 19 h 78"/>
              <a:gd name="T80" fmla="*/ 2 w 107"/>
              <a:gd name="T81" fmla="*/ 19 h 78"/>
              <a:gd name="T82" fmla="*/ 2 w 107"/>
              <a:gd name="T83" fmla="*/ 19 h 78"/>
              <a:gd name="T84" fmla="*/ 2 w 107"/>
              <a:gd name="T85" fmla="*/ 19 h 78"/>
              <a:gd name="T86" fmla="*/ 2 w 107"/>
              <a:gd name="T87" fmla="*/ 19 h 78"/>
              <a:gd name="T88" fmla="*/ 2 w 107"/>
              <a:gd name="T89" fmla="*/ 19 h 78"/>
              <a:gd name="T90" fmla="*/ 2 w 107"/>
              <a:gd name="T91" fmla="*/ 19 h 78"/>
              <a:gd name="T92" fmla="*/ 2 w 107"/>
              <a:gd name="T93" fmla="*/ 19 h 78"/>
              <a:gd name="T94" fmla="*/ 2 w 107"/>
              <a:gd name="T95" fmla="*/ 19 h 78"/>
              <a:gd name="T96" fmla="*/ 2 w 107"/>
              <a:gd name="T97" fmla="*/ 17 h 78"/>
              <a:gd name="T98" fmla="*/ 2 w 107"/>
              <a:gd name="T99" fmla="*/ 15 h 78"/>
              <a:gd name="T100" fmla="*/ 2 w 107"/>
              <a:gd name="T101" fmla="*/ 15 h 78"/>
              <a:gd name="T102" fmla="*/ 2 w 107"/>
              <a:gd name="T103" fmla="*/ 16 h 78"/>
              <a:gd name="T104" fmla="*/ 2 w 107"/>
              <a:gd name="T105" fmla="*/ 16 h 78"/>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w 107"/>
              <a:gd name="T160" fmla="*/ 0 h 78"/>
              <a:gd name="T161" fmla="*/ 107 w 107"/>
              <a:gd name="T162" fmla="*/ 78 h 78"/>
            </a:gdLst>
            <a:ahLst/>
            <a:cxnLst>
              <a:cxn ang="T106">
                <a:pos x="T0" y="T1"/>
              </a:cxn>
              <a:cxn ang="T107">
                <a:pos x="T2" y="T3"/>
              </a:cxn>
              <a:cxn ang="T108">
                <a:pos x="T4" y="T5"/>
              </a:cxn>
              <a:cxn ang="T109">
                <a:pos x="T6" y="T7"/>
              </a:cxn>
              <a:cxn ang="T110">
                <a:pos x="T8" y="T9"/>
              </a:cxn>
              <a:cxn ang="T111">
                <a:pos x="T10" y="T11"/>
              </a:cxn>
              <a:cxn ang="T112">
                <a:pos x="T12" y="T13"/>
              </a:cxn>
              <a:cxn ang="T113">
                <a:pos x="T14" y="T15"/>
              </a:cxn>
              <a:cxn ang="T114">
                <a:pos x="T16" y="T17"/>
              </a:cxn>
              <a:cxn ang="T115">
                <a:pos x="T18" y="T19"/>
              </a:cxn>
              <a:cxn ang="T116">
                <a:pos x="T20" y="T21"/>
              </a:cxn>
              <a:cxn ang="T117">
                <a:pos x="T22" y="T23"/>
              </a:cxn>
              <a:cxn ang="T118">
                <a:pos x="T24" y="T25"/>
              </a:cxn>
              <a:cxn ang="T119">
                <a:pos x="T26" y="T27"/>
              </a:cxn>
              <a:cxn ang="T120">
                <a:pos x="T28" y="T29"/>
              </a:cxn>
              <a:cxn ang="T121">
                <a:pos x="T30" y="T31"/>
              </a:cxn>
              <a:cxn ang="T122">
                <a:pos x="T32" y="T33"/>
              </a:cxn>
              <a:cxn ang="T123">
                <a:pos x="T34" y="T35"/>
              </a:cxn>
              <a:cxn ang="T124">
                <a:pos x="T36" y="T37"/>
              </a:cxn>
              <a:cxn ang="T125">
                <a:pos x="T38" y="T39"/>
              </a:cxn>
              <a:cxn ang="T126">
                <a:pos x="T40" y="T41"/>
              </a:cxn>
              <a:cxn ang="T127">
                <a:pos x="T42" y="T43"/>
              </a:cxn>
              <a:cxn ang="T128">
                <a:pos x="T44" y="T45"/>
              </a:cxn>
              <a:cxn ang="T129">
                <a:pos x="T46" y="T47"/>
              </a:cxn>
              <a:cxn ang="T130">
                <a:pos x="T48" y="T49"/>
              </a:cxn>
              <a:cxn ang="T131">
                <a:pos x="T50" y="T51"/>
              </a:cxn>
              <a:cxn ang="T132">
                <a:pos x="T52" y="T53"/>
              </a:cxn>
              <a:cxn ang="T133">
                <a:pos x="T54" y="T55"/>
              </a:cxn>
              <a:cxn ang="T134">
                <a:pos x="T56" y="T57"/>
              </a:cxn>
              <a:cxn ang="T135">
                <a:pos x="T58" y="T59"/>
              </a:cxn>
              <a:cxn ang="T136">
                <a:pos x="T60" y="T61"/>
              </a:cxn>
              <a:cxn ang="T137">
                <a:pos x="T62" y="T63"/>
              </a:cxn>
              <a:cxn ang="T138">
                <a:pos x="T64" y="T65"/>
              </a:cxn>
              <a:cxn ang="T139">
                <a:pos x="T66" y="T67"/>
              </a:cxn>
              <a:cxn ang="T140">
                <a:pos x="T68" y="T69"/>
              </a:cxn>
              <a:cxn ang="T141">
                <a:pos x="T70" y="T71"/>
              </a:cxn>
              <a:cxn ang="T142">
                <a:pos x="T72" y="T73"/>
              </a:cxn>
              <a:cxn ang="T143">
                <a:pos x="T74" y="T75"/>
              </a:cxn>
              <a:cxn ang="T144">
                <a:pos x="T76" y="T77"/>
              </a:cxn>
              <a:cxn ang="T145">
                <a:pos x="T78" y="T79"/>
              </a:cxn>
              <a:cxn ang="T146">
                <a:pos x="T80" y="T81"/>
              </a:cxn>
              <a:cxn ang="T147">
                <a:pos x="T82" y="T83"/>
              </a:cxn>
              <a:cxn ang="T148">
                <a:pos x="T84" y="T85"/>
              </a:cxn>
              <a:cxn ang="T149">
                <a:pos x="T86" y="T87"/>
              </a:cxn>
              <a:cxn ang="T150">
                <a:pos x="T88" y="T89"/>
              </a:cxn>
              <a:cxn ang="T151">
                <a:pos x="T90" y="T91"/>
              </a:cxn>
              <a:cxn ang="T152">
                <a:pos x="T92" y="T93"/>
              </a:cxn>
              <a:cxn ang="T153">
                <a:pos x="T94" y="T95"/>
              </a:cxn>
              <a:cxn ang="T154">
                <a:pos x="T96" y="T97"/>
              </a:cxn>
              <a:cxn ang="T155">
                <a:pos x="T98" y="T99"/>
              </a:cxn>
              <a:cxn ang="T156">
                <a:pos x="T100" y="T101"/>
              </a:cxn>
              <a:cxn ang="T157">
                <a:pos x="T102" y="T103"/>
              </a:cxn>
              <a:cxn ang="T158">
                <a:pos x="T104" y="T105"/>
              </a:cxn>
            </a:cxnLst>
            <a:rect l="T159" t="T160" r="T161" b="T162"/>
            <a:pathLst>
              <a:path w="107" h="78">
                <a:moveTo>
                  <a:pt x="107" y="4"/>
                </a:moveTo>
                <a:lnTo>
                  <a:pt x="104" y="3"/>
                </a:lnTo>
                <a:lnTo>
                  <a:pt x="101" y="2"/>
                </a:lnTo>
                <a:lnTo>
                  <a:pt x="99" y="2"/>
                </a:lnTo>
                <a:lnTo>
                  <a:pt x="96" y="1"/>
                </a:lnTo>
                <a:lnTo>
                  <a:pt x="94" y="1"/>
                </a:lnTo>
                <a:lnTo>
                  <a:pt x="91" y="1"/>
                </a:lnTo>
                <a:lnTo>
                  <a:pt x="88" y="0"/>
                </a:lnTo>
                <a:lnTo>
                  <a:pt x="85" y="0"/>
                </a:lnTo>
                <a:lnTo>
                  <a:pt x="81" y="1"/>
                </a:lnTo>
                <a:lnTo>
                  <a:pt x="77" y="1"/>
                </a:lnTo>
                <a:lnTo>
                  <a:pt x="73" y="1"/>
                </a:lnTo>
                <a:lnTo>
                  <a:pt x="69" y="2"/>
                </a:lnTo>
                <a:lnTo>
                  <a:pt x="66" y="3"/>
                </a:lnTo>
                <a:lnTo>
                  <a:pt x="62" y="4"/>
                </a:lnTo>
                <a:lnTo>
                  <a:pt x="58" y="5"/>
                </a:lnTo>
                <a:lnTo>
                  <a:pt x="55" y="6"/>
                </a:lnTo>
                <a:lnTo>
                  <a:pt x="51" y="7"/>
                </a:lnTo>
                <a:lnTo>
                  <a:pt x="48" y="8"/>
                </a:lnTo>
                <a:lnTo>
                  <a:pt x="45" y="10"/>
                </a:lnTo>
                <a:lnTo>
                  <a:pt x="42" y="12"/>
                </a:lnTo>
                <a:lnTo>
                  <a:pt x="39" y="13"/>
                </a:lnTo>
                <a:lnTo>
                  <a:pt x="36" y="15"/>
                </a:lnTo>
                <a:lnTo>
                  <a:pt x="33" y="17"/>
                </a:lnTo>
                <a:lnTo>
                  <a:pt x="30" y="19"/>
                </a:lnTo>
                <a:lnTo>
                  <a:pt x="27" y="21"/>
                </a:lnTo>
                <a:lnTo>
                  <a:pt x="24" y="23"/>
                </a:lnTo>
                <a:lnTo>
                  <a:pt x="22" y="25"/>
                </a:lnTo>
                <a:lnTo>
                  <a:pt x="20" y="27"/>
                </a:lnTo>
                <a:lnTo>
                  <a:pt x="17" y="30"/>
                </a:lnTo>
                <a:lnTo>
                  <a:pt x="15" y="32"/>
                </a:lnTo>
                <a:lnTo>
                  <a:pt x="13" y="34"/>
                </a:lnTo>
                <a:lnTo>
                  <a:pt x="11" y="36"/>
                </a:lnTo>
                <a:lnTo>
                  <a:pt x="10" y="39"/>
                </a:lnTo>
                <a:lnTo>
                  <a:pt x="8" y="41"/>
                </a:lnTo>
                <a:lnTo>
                  <a:pt x="6" y="43"/>
                </a:lnTo>
                <a:lnTo>
                  <a:pt x="5" y="45"/>
                </a:lnTo>
                <a:lnTo>
                  <a:pt x="4" y="47"/>
                </a:lnTo>
                <a:lnTo>
                  <a:pt x="3" y="50"/>
                </a:lnTo>
                <a:lnTo>
                  <a:pt x="2" y="52"/>
                </a:lnTo>
                <a:lnTo>
                  <a:pt x="1" y="54"/>
                </a:lnTo>
                <a:lnTo>
                  <a:pt x="1" y="55"/>
                </a:lnTo>
                <a:lnTo>
                  <a:pt x="0" y="57"/>
                </a:lnTo>
                <a:lnTo>
                  <a:pt x="0" y="58"/>
                </a:lnTo>
                <a:lnTo>
                  <a:pt x="0" y="59"/>
                </a:lnTo>
                <a:lnTo>
                  <a:pt x="0" y="61"/>
                </a:lnTo>
                <a:lnTo>
                  <a:pt x="0" y="62"/>
                </a:lnTo>
                <a:lnTo>
                  <a:pt x="0" y="63"/>
                </a:lnTo>
                <a:lnTo>
                  <a:pt x="0" y="64"/>
                </a:lnTo>
                <a:lnTo>
                  <a:pt x="0" y="65"/>
                </a:lnTo>
                <a:lnTo>
                  <a:pt x="1" y="67"/>
                </a:lnTo>
                <a:lnTo>
                  <a:pt x="1" y="68"/>
                </a:lnTo>
                <a:lnTo>
                  <a:pt x="2" y="69"/>
                </a:lnTo>
                <a:lnTo>
                  <a:pt x="3" y="70"/>
                </a:lnTo>
                <a:lnTo>
                  <a:pt x="4" y="71"/>
                </a:lnTo>
                <a:lnTo>
                  <a:pt x="4" y="72"/>
                </a:lnTo>
                <a:lnTo>
                  <a:pt x="5" y="73"/>
                </a:lnTo>
                <a:lnTo>
                  <a:pt x="6" y="73"/>
                </a:lnTo>
                <a:lnTo>
                  <a:pt x="7" y="74"/>
                </a:lnTo>
                <a:lnTo>
                  <a:pt x="8" y="75"/>
                </a:lnTo>
                <a:lnTo>
                  <a:pt x="9" y="75"/>
                </a:lnTo>
                <a:lnTo>
                  <a:pt x="10" y="76"/>
                </a:lnTo>
                <a:lnTo>
                  <a:pt x="12" y="76"/>
                </a:lnTo>
                <a:lnTo>
                  <a:pt x="13" y="77"/>
                </a:lnTo>
                <a:lnTo>
                  <a:pt x="14" y="77"/>
                </a:lnTo>
                <a:lnTo>
                  <a:pt x="16" y="77"/>
                </a:lnTo>
                <a:lnTo>
                  <a:pt x="17" y="78"/>
                </a:lnTo>
                <a:lnTo>
                  <a:pt x="19" y="78"/>
                </a:lnTo>
                <a:lnTo>
                  <a:pt x="21" y="78"/>
                </a:lnTo>
                <a:lnTo>
                  <a:pt x="22" y="78"/>
                </a:lnTo>
                <a:lnTo>
                  <a:pt x="24" y="78"/>
                </a:lnTo>
                <a:lnTo>
                  <a:pt x="26" y="78"/>
                </a:lnTo>
                <a:lnTo>
                  <a:pt x="29" y="78"/>
                </a:lnTo>
                <a:lnTo>
                  <a:pt x="32" y="78"/>
                </a:lnTo>
                <a:lnTo>
                  <a:pt x="36" y="78"/>
                </a:lnTo>
                <a:lnTo>
                  <a:pt x="39" y="77"/>
                </a:lnTo>
                <a:lnTo>
                  <a:pt x="42" y="77"/>
                </a:lnTo>
                <a:lnTo>
                  <a:pt x="45" y="76"/>
                </a:lnTo>
                <a:lnTo>
                  <a:pt x="48" y="76"/>
                </a:lnTo>
                <a:lnTo>
                  <a:pt x="51" y="75"/>
                </a:lnTo>
                <a:lnTo>
                  <a:pt x="54" y="74"/>
                </a:lnTo>
                <a:lnTo>
                  <a:pt x="57" y="73"/>
                </a:lnTo>
                <a:lnTo>
                  <a:pt x="60" y="72"/>
                </a:lnTo>
                <a:lnTo>
                  <a:pt x="62" y="71"/>
                </a:lnTo>
                <a:lnTo>
                  <a:pt x="68" y="69"/>
                </a:lnTo>
                <a:lnTo>
                  <a:pt x="72" y="67"/>
                </a:lnTo>
                <a:lnTo>
                  <a:pt x="67" y="56"/>
                </a:lnTo>
                <a:lnTo>
                  <a:pt x="66" y="56"/>
                </a:lnTo>
                <a:lnTo>
                  <a:pt x="63" y="57"/>
                </a:lnTo>
                <a:lnTo>
                  <a:pt x="60" y="58"/>
                </a:lnTo>
                <a:lnTo>
                  <a:pt x="57" y="60"/>
                </a:lnTo>
                <a:lnTo>
                  <a:pt x="55" y="60"/>
                </a:lnTo>
                <a:lnTo>
                  <a:pt x="53" y="61"/>
                </a:lnTo>
                <a:lnTo>
                  <a:pt x="51" y="61"/>
                </a:lnTo>
                <a:lnTo>
                  <a:pt x="49" y="62"/>
                </a:lnTo>
                <a:lnTo>
                  <a:pt x="48" y="62"/>
                </a:lnTo>
                <a:lnTo>
                  <a:pt x="46" y="63"/>
                </a:lnTo>
                <a:lnTo>
                  <a:pt x="44" y="63"/>
                </a:lnTo>
                <a:lnTo>
                  <a:pt x="43" y="63"/>
                </a:lnTo>
                <a:lnTo>
                  <a:pt x="42" y="63"/>
                </a:lnTo>
                <a:lnTo>
                  <a:pt x="41" y="63"/>
                </a:lnTo>
                <a:lnTo>
                  <a:pt x="40" y="63"/>
                </a:lnTo>
                <a:lnTo>
                  <a:pt x="39" y="62"/>
                </a:lnTo>
                <a:lnTo>
                  <a:pt x="38" y="62"/>
                </a:lnTo>
                <a:lnTo>
                  <a:pt x="37" y="61"/>
                </a:lnTo>
                <a:lnTo>
                  <a:pt x="36" y="60"/>
                </a:lnTo>
                <a:lnTo>
                  <a:pt x="36" y="59"/>
                </a:lnTo>
                <a:lnTo>
                  <a:pt x="36" y="58"/>
                </a:lnTo>
                <a:lnTo>
                  <a:pt x="36" y="57"/>
                </a:lnTo>
                <a:lnTo>
                  <a:pt x="36" y="56"/>
                </a:lnTo>
                <a:lnTo>
                  <a:pt x="36" y="55"/>
                </a:lnTo>
                <a:lnTo>
                  <a:pt x="36" y="54"/>
                </a:lnTo>
                <a:lnTo>
                  <a:pt x="36" y="53"/>
                </a:lnTo>
                <a:lnTo>
                  <a:pt x="37" y="52"/>
                </a:lnTo>
                <a:lnTo>
                  <a:pt x="38" y="50"/>
                </a:lnTo>
                <a:lnTo>
                  <a:pt x="38" y="49"/>
                </a:lnTo>
                <a:lnTo>
                  <a:pt x="39" y="47"/>
                </a:lnTo>
                <a:lnTo>
                  <a:pt x="40" y="46"/>
                </a:lnTo>
                <a:lnTo>
                  <a:pt x="41" y="44"/>
                </a:lnTo>
                <a:lnTo>
                  <a:pt x="42" y="43"/>
                </a:lnTo>
                <a:lnTo>
                  <a:pt x="43" y="41"/>
                </a:lnTo>
                <a:lnTo>
                  <a:pt x="44" y="39"/>
                </a:lnTo>
                <a:lnTo>
                  <a:pt x="45" y="38"/>
                </a:lnTo>
                <a:lnTo>
                  <a:pt x="47" y="36"/>
                </a:lnTo>
                <a:lnTo>
                  <a:pt x="48" y="35"/>
                </a:lnTo>
                <a:lnTo>
                  <a:pt x="50" y="33"/>
                </a:lnTo>
                <a:lnTo>
                  <a:pt x="51" y="32"/>
                </a:lnTo>
                <a:lnTo>
                  <a:pt x="53" y="30"/>
                </a:lnTo>
                <a:lnTo>
                  <a:pt x="54" y="29"/>
                </a:lnTo>
                <a:lnTo>
                  <a:pt x="56" y="27"/>
                </a:lnTo>
                <a:lnTo>
                  <a:pt x="58" y="26"/>
                </a:lnTo>
                <a:lnTo>
                  <a:pt x="60" y="24"/>
                </a:lnTo>
                <a:lnTo>
                  <a:pt x="61" y="23"/>
                </a:lnTo>
                <a:lnTo>
                  <a:pt x="63" y="22"/>
                </a:lnTo>
                <a:lnTo>
                  <a:pt x="65" y="21"/>
                </a:lnTo>
                <a:lnTo>
                  <a:pt x="67" y="20"/>
                </a:lnTo>
                <a:lnTo>
                  <a:pt x="69" y="19"/>
                </a:lnTo>
                <a:lnTo>
                  <a:pt x="71" y="18"/>
                </a:lnTo>
                <a:lnTo>
                  <a:pt x="73" y="17"/>
                </a:lnTo>
                <a:lnTo>
                  <a:pt x="75" y="17"/>
                </a:lnTo>
                <a:lnTo>
                  <a:pt x="77" y="16"/>
                </a:lnTo>
                <a:lnTo>
                  <a:pt x="79" y="16"/>
                </a:lnTo>
                <a:lnTo>
                  <a:pt x="81" y="15"/>
                </a:lnTo>
                <a:lnTo>
                  <a:pt x="83" y="15"/>
                </a:lnTo>
                <a:lnTo>
                  <a:pt x="85" y="15"/>
                </a:lnTo>
                <a:lnTo>
                  <a:pt x="86" y="15"/>
                </a:lnTo>
                <a:lnTo>
                  <a:pt x="88" y="15"/>
                </a:lnTo>
                <a:lnTo>
                  <a:pt x="89" y="15"/>
                </a:lnTo>
                <a:lnTo>
                  <a:pt x="91" y="16"/>
                </a:lnTo>
                <a:lnTo>
                  <a:pt x="92" y="16"/>
                </a:lnTo>
                <a:lnTo>
                  <a:pt x="93" y="16"/>
                </a:lnTo>
                <a:lnTo>
                  <a:pt x="94" y="16"/>
                </a:lnTo>
                <a:lnTo>
                  <a:pt x="95" y="17"/>
                </a:lnTo>
                <a:lnTo>
                  <a:pt x="107" y="4"/>
                </a:lnTo>
                <a:close/>
              </a:path>
            </a:pathLst>
          </a:custGeom>
          <a:solidFill>
            <a:srgbClr val="00593C"/>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303869" name="Freeform 12">
            <a:extLst>
              <a:ext uri="{FF2B5EF4-FFF2-40B4-BE49-F238E27FC236}">
                <a16:creationId xmlns:a16="http://schemas.microsoft.com/office/drawing/2014/main" id="{67B529A5-C787-4454-B875-146FB0CC9471}"/>
              </a:ext>
            </a:extLst>
          </xdr:cNvPr>
          <xdr:cNvSpPr>
            <a:spLocks noEditPoints="1"/>
          </xdr:cNvSpPr>
        </xdr:nvSpPr>
        <xdr:spPr bwMode="auto">
          <a:xfrm>
            <a:off x="1310" y="1768"/>
            <a:ext cx="87" cy="76"/>
          </a:xfrm>
          <a:custGeom>
            <a:avLst/>
            <a:gdLst>
              <a:gd name="T0" fmla="*/ 0 w 106"/>
              <a:gd name="T1" fmla="*/ 19 h 78"/>
              <a:gd name="T2" fmla="*/ 0 w 106"/>
              <a:gd name="T3" fmla="*/ 19 h 78"/>
              <a:gd name="T4" fmla="*/ 2 w 106"/>
              <a:gd name="T5" fmla="*/ 19 h 78"/>
              <a:gd name="T6" fmla="*/ 2 w 106"/>
              <a:gd name="T7" fmla="*/ 19 h 78"/>
              <a:gd name="T8" fmla="*/ 2 w 106"/>
              <a:gd name="T9" fmla="*/ 19 h 78"/>
              <a:gd name="T10" fmla="*/ 2 w 106"/>
              <a:gd name="T11" fmla="*/ 19 h 78"/>
              <a:gd name="T12" fmla="*/ 2 w 106"/>
              <a:gd name="T13" fmla="*/ 19 h 78"/>
              <a:gd name="T14" fmla="*/ 2 w 106"/>
              <a:gd name="T15" fmla="*/ 19 h 78"/>
              <a:gd name="T16" fmla="*/ 2 w 106"/>
              <a:gd name="T17" fmla="*/ 19 h 78"/>
              <a:gd name="T18" fmla="*/ 2 w 106"/>
              <a:gd name="T19" fmla="*/ 19 h 78"/>
              <a:gd name="T20" fmla="*/ 2 w 106"/>
              <a:gd name="T21" fmla="*/ 19 h 78"/>
              <a:gd name="T22" fmla="*/ 2 w 106"/>
              <a:gd name="T23" fmla="*/ 19 h 78"/>
              <a:gd name="T24" fmla="*/ 2 w 106"/>
              <a:gd name="T25" fmla="*/ 19 h 78"/>
              <a:gd name="T26" fmla="*/ 2 w 106"/>
              <a:gd name="T27" fmla="*/ 19 h 78"/>
              <a:gd name="T28" fmla="*/ 2 w 106"/>
              <a:gd name="T29" fmla="*/ 19 h 78"/>
              <a:gd name="T30" fmla="*/ 2 w 106"/>
              <a:gd name="T31" fmla="*/ 19 h 78"/>
              <a:gd name="T32" fmla="*/ 2 w 106"/>
              <a:gd name="T33" fmla="*/ 19 h 78"/>
              <a:gd name="T34" fmla="*/ 2 w 106"/>
              <a:gd name="T35" fmla="*/ 18 h 78"/>
              <a:gd name="T36" fmla="*/ 2 w 106"/>
              <a:gd name="T37" fmla="*/ 13 h 78"/>
              <a:gd name="T38" fmla="*/ 2 w 106"/>
              <a:gd name="T39" fmla="*/ 8 h 78"/>
              <a:gd name="T40" fmla="*/ 2 w 106"/>
              <a:gd name="T41" fmla="*/ 5 h 78"/>
              <a:gd name="T42" fmla="*/ 2 w 106"/>
              <a:gd name="T43" fmla="*/ 3 h 78"/>
              <a:gd name="T44" fmla="*/ 2 w 106"/>
              <a:gd name="T45" fmla="*/ 1 h 78"/>
              <a:gd name="T46" fmla="*/ 2 w 106"/>
              <a:gd name="T47" fmla="*/ 0 h 78"/>
              <a:gd name="T48" fmla="*/ 2 w 106"/>
              <a:gd name="T49" fmla="*/ 1 h 78"/>
              <a:gd name="T50" fmla="*/ 2 w 106"/>
              <a:gd name="T51" fmla="*/ 4 h 78"/>
              <a:gd name="T52" fmla="*/ 2 w 106"/>
              <a:gd name="T53" fmla="*/ 9 h 78"/>
              <a:gd name="T54" fmla="*/ 2 w 106"/>
              <a:gd name="T55" fmla="*/ 15 h 78"/>
              <a:gd name="T56" fmla="*/ 2 w 106"/>
              <a:gd name="T57" fmla="*/ 19 h 78"/>
              <a:gd name="T58" fmla="*/ 2 w 106"/>
              <a:gd name="T59" fmla="*/ 19 h 78"/>
              <a:gd name="T60" fmla="*/ 2 w 106"/>
              <a:gd name="T61" fmla="*/ 19 h 78"/>
              <a:gd name="T62" fmla="*/ 2 w 106"/>
              <a:gd name="T63" fmla="*/ 19 h 78"/>
              <a:gd name="T64" fmla="*/ 2 w 106"/>
              <a:gd name="T65" fmla="*/ 19 h 78"/>
              <a:gd name="T66" fmla="*/ 2 w 106"/>
              <a:gd name="T67" fmla="*/ 19 h 78"/>
              <a:gd name="T68" fmla="*/ 2 w 106"/>
              <a:gd name="T69" fmla="*/ 19 h 78"/>
              <a:gd name="T70" fmla="*/ 2 w 106"/>
              <a:gd name="T71" fmla="*/ 19 h 78"/>
              <a:gd name="T72" fmla="*/ 2 w 106"/>
              <a:gd name="T73" fmla="*/ 18 h 78"/>
              <a:gd name="T74" fmla="*/ 2 w 106"/>
              <a:gd name="T75" fmla="*/ 14 h 78"/>
              <a:gd name="T76" fmla="*/ 2 w 106"/>
              <a:gd name="T77" fmla="*/ 13 h 78"/>
              <a:gd name="T78" fmla="*/ 2 w 106"/>
              <a:gd name="T79" fmla="*/ 14 h 78"/>
              <a:gd name="T80" fmla="*/ 2 w 106"/>
              <a:gd name="T81" fmla="*/ 17 h 78"/>
              <a:gd name="T82" fmla="*/ 2 w 106"/>
              <a:gd name="T83" fmla="*/ 19 h 78"/>
              <a:gd name="T84" fmla="*/ 2 w 106"/>
              <a:gd name="T85" fmla="*/ 19 h 78"/>
              <a:gd name="T86" fmla="*/ 2 w 106"/>
              <a:gd name="T87" fmla="*/ 19 h 78"/>
              <a:gd name="T88" fmla="*/ 2 w 106"/>
              <a:gd name="T89" fmla="*/ 19 h 78"/>
              <a:gd name="T90" fmla="*/ 2 w 106"/>
              <a:gd name="T91" fmla="*/ 19 h 78"/>
              <a:gd name="T92" fmla="*/ 2 w 106"/>
              <a:gd name="T93" fmla="*/ 19 h 78"/>
              <a:gd name="T94" fmla="*/ 2 w 106"/>
              <a:gd name="T95" fmla="*/ 19 h 78"/>
              <a:gd name="T96" fmla="*/ 2 w 106"/>
              <a:gd name="T97" fmla="*/ 19 h 78"/>
              <a:gd name="T98" fmla="*/ 2 w 106"/>
              <a:gd name="T99" fmla="*/ 19 h 78"/>
              <a:gd name="T100" fmla="*/ 2 w 106"/>
              <a:gd name="T101" fmla="*/ 19 h 78"/>
              <a:gd name="T102" fmla="*/ 2 w 106"/>
              <a:gd name="T103" fmla="*/ 19 h 78"/>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w 106"/>
              <a:gd name="T157" fmla="*/ 0 h 78"/>
              <a:gd name="T158" fmla="*/ 106 w 106"/>
              <a:gd name="T159" fmla="*/ 78 h 78"/>
            </a:gdLst>
            <a:ahLst/>
            <a:cxnLst>
              <a:cxn ang="T104">
                <a:pos x="T0" y="T1"/>
              </a:cxn>
              <a:cxn ang="T105">
                <a:pos x="T2" y="T3"/>
              </a:cxn>
              <a:cxn ang="T106">
                <a:pos x="T4" y="T5"/>
              </a:cxn>
              <a:cxn ang="T107">
                <a:pos x="T6" y="T7"/>
              </a:cxn>
              <a:cxn ang="T108">
                <a:pos x="T8" y="T9"/>
              </a:cxn>
              <a:cxn ang="T109">
                <a:pos x="T10" y="T11"/>
              </a:cxn>
              <a:cxn ang="T110">
                <a:pos x="T12" y="T13"/>
              </a:cxn>
              <a:cxn ang="T111">
                <a:pos x="T14" y="T15"/>
              </a:cxn>
              <a:cxn ang="T112">
                <a:pos x="T16" y="T17"/>
              </a:cxn>
              <a:cxn ang="T113">
                <a:pos x="T18" y="T19"/>
              </a:cxn>
              <a:cxn ang="T114">
                <a:pos x="T20" y="T21"/>
              </a:cxn>
              <a:cxn ang="T115">
                <a:pos x="T22" y="T23"/>
              </a:cxn>
              <a:cxn ang="T116">
                <a:pos x="T24" y="T25"/>
              </a:cxn>
              <a:cxn ang="T117">
                <a:pos x="T26" y="T27"/>
              </a:cxn>
              <a:cxn ang="T118">
                <a:pos x="T28" y="T29"/>
              </a:cxn>
              <a:cxn ang="T119">
                <a:pos x="T30" y="T31"/>
              </a:cxn>
              <a:cxn ang="T120">
                <a:pos x="T32" y="T33"/>
              </a:cxn>
              <a:cxn ang="T121">
                <a:pos x="T34" y="T35"/>
              </a:cxn>
              <a:cxn ang="T122">
                <a:pos x="T36" y="T37"/>
              </a:cxn>
              <a:cxn ang="T123">
                <a:pos x="T38" y="T39"/>
              </a:cxn>
              <a:cxn ang="T124">
                <a:pos x="T40" y="T41"/>
              </a:cxn>
              <a:cxn ang="T125">
                <a:pos x="T42" y="T43"/>
              </a:cxn>
              <a:cxn ang="T126">
                <a:pos x="T44" y="T45"/>
              </a:cxn>
              <a:cxn ang="T127">
                <a:pos x="T46" y="T47"/>
              </a:cxn>
              <a:cxn ang="T128">
                <a:pos x="T48" y="T49"/>
              </a:cxn>
              <a:cxn ang="T129">
                <a:pos x="T50" y="T51"/>
              </a:cxn>
              <a:cxn ang="T130">
                <a:pos x="T52" y="T53"/>
              </a:cxn>
              <a:cxn ang="T131">
                <a:pos x="T54" y="T55"/>
              </a:cxn>
              <a:cxn ang="T132">
                <a:pos x="T56" y="T57"/>
              </a:cxn>
              <a:cxn ang="T133">
                <a:pos x="T58" y="T59"/>
              </a:cxn>
              <a:cxn ang="T134">
                <a:pos x="T60" y="T61"/>
              </a:cxn>
              <a:cxn ang="T135">
                <a:pos x="T62" y="T63"/>
              </a:cxn>
              <a:cxn ang="T136">
                <a:pos x="T64" y="T65"/>
              </a:cxn>
              <a:cxn ang="T137">
                <a:pos x="T66" y="T67"/>
              </a:cxn>
              <a:cxn ang="T138">
                <a:pos x="T68" y="T69"/>
              </a:cxn>
              <a:cxn ang="T139">
                <a:pos x="T70" y="T71"/>
              </a:cxn>
              <a:cxn ang="T140">
                <a:pos x="T72" y="T73"/>
              </a:cxn>
              <a:cxn ang="T141">
                <a:pos x="T74" y="T75"/>
              </a:cxn>
              <a:cxn ang="T142">
                <a:pos x="T76" y="T77"/>
              </a:cxn>
              <a:cxn ang="T143">
                <a:pos x="T78" y="T79"/>
              </a:cxn>
              <a:cxn ang="T144">
                <a:pos x="T80" y="T81"/>
              </a:cxn>
              <a:cxn ang="T145">
                <a:pos x="T82" y="T83"/>
              </a:cxn>
              <a:cxn ang="T146">
                <a:pos x="T84" y="T85"/>
              </a:cxn>
              <a:cxn ang="T147">
                <a:pos x="T86" y="T87"/>
              </a:cxn>
              <a:cxn ang="T148">
                <a:pos x="T88" y="T89"/>
              </a:cxn>
              <a:cxn ang="T149">
                <a:pos x="T90" y="T91"/>
              </a:cxn>
              <a:cxn ang="T150">
                <a:pos x="T92" y="T93"/>
              </a:cxn>
              <a:cxn ang="T151">
                <a:pos x="T94" y="T95"/>
              </a:cxn>
              <a:cxn ang="T152">
                <a:pos x="T96" y="T97"/>
              </a:cxn>
              <a:cxn ang="T153">
                <a:pos x="T98" y="T99"/>
              </a:cxn>
              <a:cxn ang="T154">
                <a:pos x="T100" y="T101"/>
              </a:cxn>
              <a:cxn ang="T155">
                <a:pos x="T102" y="T103"/>
              </a:cxn>
            </a:cxnLst>
            <a:rect l="T156" t="T157" r="T158" b="T159"/>
            <a:pathLst>
              <a:path w="106" h="78">
                <a:moveTo>
                  <a:pt x="2" y="49"/>
                </a:moveTo>
                <a:lnTo>
                  <a:pt x="1" y="51"/>
                </a:lnTo>
                <a:lnTo>
                  <a:pt x="1" y="53"/>
                </a:lnTo>
                <a:lnTo>
                  <a:pt x="0" y="55"/>
                </a:lnTo>
                <a:lnTo>
                  <a:pt x="0" y="56"/>
                </a:lnTo>
                <a:lnTo>
                  <a:pt x="0" y="58"/>
                </a:lnTo>
                <a:lnTo>
                  <a:pt x="0" y="59"/>
                </a:lnTo>
                <a:lnTo>
                  <a:pt x="0" y="61"/>
                </a:lnTo>
                <a:lnTo>
                  <a:pt x="0" y="62"/>
                </a:lnTo>
                <a:lnTo>
                  <a:pt x="1" y="63"/>
                </a:lnTo>
                <a:lnTo>
                  <a:pt x="1" y="65"/>
                </a:lnTo>
                <a:lnTo>
                  <a:pt x="2" y="66"/>
                </a:lnTo>
                <a:lnTo>
                  <a:pt x="2" y="67"/>
                </a:lnTo>
                <a:lnTo>
                  <a:pt x="3" y="68"/>
                </a:lnTo>
                <a:lnTo>
                  <a:pt x="4" y="69"/>
                </a:lnTo>
                <a:lnTo>
                  <a:pt x="5" y="70"/>
                </a:lnTo>
                <a:lnTo>
                  <a:pt x="6" y="71"/>
                </a:lnTo>
                <a:lnTo>
                  <a:pt x="7" y="72"/>
                </a:lnTo>
                <a:lnTo>
                  <a:pt x="8" y="73"/>
                </a:lnTo>
                <a:lnTo>
                  <a:pt x="9" y="74"/>
                </a:lnTo>
                <a:lnTo>
                  <a:pt x="10" y="74"/>
                </a:lnTo>
                <a:lnTo>
                  <a:pt x="11" y="75"/>
                </a:lnTo>
                <a:lnTo>
                  <a:pt x="13" y="76"/>
                </a:lnTo>
                <a:lnTo>
                  <a:pt x="14" y="76"/>
                </a:lnTo>
                <a:lnTo>
                  <a:pt x="16" y="77"/>
                </a:lnTo>
                <a:lnTo>
                  <a:pt x="17" y="77"/>
                </a:lnTo>
                <a:lnTo>
                  <a:pt x="19" y="77"/>
                </a:lnTo>
                <a:lnTo>
                  <a:pt x="20" y="78"/>
                </a:lnTo>
                <a:lnTo>
                  <a:pt x="22" y="78"/>
                </a:lnTo>
                <a:lnTo>
                  <a:pt x="24" y="78"/>
                </a:lnTo>
                <a:lnTo>
                  <a:pt x="26" y="78"/>
                </a:lnTo>
                <a:lnTo>
                  <a:pt x="28" y="78"/>
                </a:lnTo>
                <a:lnTo>
                  <a:pt x="29" y="78"/>
                </a:lnTo>
                <a:lnTo>
                  <a:pt x="33" y="78"/>
                </a:lnTo>
                <a:lnTo>
                  <a:pt x="37" y="78"/>
                </a:lnTo>
                <a:lnTo>
                  <a:pt x="40" y="78"/>
                </a:lnTo>
                <a:lnTo>
                  <a:pt x="44" y="77"/>
                </a:lnTo>
                <a:lnTo>
                  <a:pt x="47" y="76"/>
                </a:lnTo>
                <a:lnTo>
                  <a:pt x="51" y="75"/>
                </a:lnTo>
                <a:lnTo>
                  <a:pt x="54" y="74"/>
                </a:lnTo>
                <a:lnTo>
                  <a:pt x="57" y="73"/>
                </a:lnTo>
                <a:lnTo>
                  <a:pt x="60" y="72"/>
                </a:lnTo>
                <a:lnTo>
                  <a:pt x="63" y="71"/>
                </a:lnTo>
                <a:lnTo>
                  <a:pt x="66" y="69"/>
                </a:lnTo>
                <a:lnTo>
                  <a:pt x="69" y="68"/>
                </a:lnTo>
                <a:lnTo>
                  <a:pt x="72" y="66"/>
                </a:lnTo>
                <a:lnTo>
                  <a:pt x="74" y="64"/>
                </a:lnTo>
                <a:lnTo>
                  <a:pt x="77" y="63"/>
                </a:lnTo>
                <a:lnTo>
                  <a:pt x="79" y="61"/>
                </a:lnTo>
                <a:lnTo>
                  <a:pt x="82" y="59"/>
                </a:lnTo>
                <a:lnTo>
                  <a:pt x="84" y="57"/>
                </a:lnTo>
                <a:lnTo>
                  <a:pt x="86" y="55"/>
                </a:lnTo>
                <a:lnTo>
                  <a:pt x="88" y="53"/>
                </a:lnTo>
                <a:lnTo>
                  <a:pt x="90" y="51"/>
                </a:lnTo>
                <a:lnTo>
                  <a:pt x="92" y="49"/>
                </a:lnTo>
                <a:lnTo>
                  <a:pt x="93" y="47"/>
                </a:lnTo>
                <a:lnTo>
                  <a:pt x="95" y="45"/>
                </a:lnTo>
                <a:lnTo>
                  <a:pt x="97" y="42"/>
                </a:lnTo>
                <a:lnTo>
                  <a:pt x="98" y="40"/>
                </a:lnTo>
                <a:lnTo>
                  <a:pt x="99" y="38"/>
                </a:lnTo>
                <a:lnTo>
                  <a:pt x="100" y="36"/>
                </a:lnTo>
                <a:lnTo>
                  <a:pt x="102" y="34"/>
                </a:lnTo>
                <a:lnTo>
                  <a:pt x="102" y="32"/>
                </a:lnTo>
                <a:lnTo>
                  <a:pt x="103" y="30"/>
                </a:lnTo>
                <a:lnTo>
                  <a:pt x="104" y="28"/>
                </a:lnTo>
                <a:lnTo>
                  <a:pt x="104" y="27"/>
                </a:lnTo>
                <a:lnTo>
                  <a:pt x="105" y="25"/>
                </a:lnTo>
                <a:lnTo>
                  <a:pt x="105" y="24"/>
                </a:lnTo>
                <a:lnTo>
                  <a:pt x="105" y="22"/>
                </a:lnTo>
                <a:lnTo>
                  <a:pt x="106" y="20"/>
                </a:lnTo>
                <a:lnTo>
                  <a:pt x="106" y="19"/>
                </a:lnTo>
                <a:lnTo>
                  <a:pt x="105" y="18"/>
                </a:lnTo>
                <a:lnTo>
                  <a:pt x="105" y="16"/>
                </a:lnTo>
                <a:lnTo>
                  <a:pt x="105" y="15"/>
                </a:lnTo>
                <a:lnTo>
                  <a:pt x="105" y="14"/>
                </a:lnTo>
                <a:lnTo>
                  <a:pt x="104" y="13"/>
                </a:lnTo>
                <a:lnTo>
                  <a:pt x="104" y="12"/>
                </a:lnTo>
                <a:lnTo>
                  <a:pt x="103" y="10"/>
                </a:lnTo>
                <a:lnTo>
                  <a:pt x="102" y="9"/>
                </a:lnTo>
                <a:lnTo>
                  <a:pt x="101" y="8"/>
                </a:lnTo>
                <a:lnTo>
                  <a:pt x="100" y="8"/>
                </a:lnTo>
                <a:lnTo>
                  <a:pt x="99" y="7"/>
                </a:lnTo>
                <a:lnTo>
                  <a:pt x="98" y="6"/>
                </a:lnTo>
                <a:lnTo>
                  <a:pt x="97" y="5"/>
                </a:lnTo>
                <a:lnTo>
                  <a:pt x="96" y="4"/>
                </a:lnTo>
                <a:lnTo>
                  <a:pt x="95" y="4"/>
                </a:lnTo>
                <a:lnTo>
                  <a:pt x="93" y="3"/>
                </a:lnTo>
                <a:lnTo>
                  <a:pt x="92" y="3"/>
                </a:lnTo>
                <a:lnTo>
                  <a:pt x="90" y="2"/>
                </a:lnTo>
                <a:lnTo>
                  <a:pt x="89" y="2"/>
                </a:lnTo>
                <a:lnTo>
                  <a:pt x="87" y="1"/>
                </a:lnTo>
                <a:lnTo>
                  <a:pt x="85" y="1"/>
                </a:lnTo>
                <a:lnTo>
                  <a:pt x="84" y="1"/>
                </a:lnTo>
                <a:lnTo>
                  <a:pt x="82" y="1"/>
                </a:lnTo>
                <a:lnTo>
                  <a:pt x="80" y="1"/>
                </a:lnTo>
                <a:lnTo>
                  <a:pt x="78" y="0"/>
                </a:lnTo>
                <a:lnTo>
                  <a:pt x="76" y="0"/>
                </a:lnTo>
                <a:lnTo>
                  <a:pt x="73" y="1"/>
                </a:lnTo>
                <a:lnTo>
                  <a:pt x="69" y="1"/>
                </a:lnTo>
                <a:lnTo>
                  <a:pt x="66" y="1"/>
                </a:lnTo>
                <a:lnTo>
                  <a:pt x="62" y="2"/>
                </a:lnTo>
                <a:lnTo>
                  <a:pt x="59" y="2"/>
                </a:lnTo>
                <a:lnTo>
                  <a:pt x="56" y="3"/>
                </a:lnTo>
                <a:lnTo>
                  <a:pt x="53" y="4"/>
                </a:lnTo>
                <a:lnTo>
                  <a:pt x="49" y="5"/>
                </a:lnTo>
                <a:lnTo>
                  <a:pt x="46" y="6"/>
                </a:lnTo>
                <a:lnTo>
                  <a:pt x="43" y="8"/>
                </a:lnTo>
                <a:lnTo>
                  <a:pt x="41" y="9"/>
                </a:lnTo>
                <a:lnTo>
                  <a:pt x="38" y="10"/>
                </a:lnTo>
                <a:lnTo>
                  <a:pt x="35" y="12"/>
                </a:lnTo>
                <a:lnTo>
                  <a:pt x="32" y="14"/>
                </a:lnTo>
                <a:lnTo>
                  <a:pt x="30" y="15"/>
                </a:lnTo>
                <a:lnTo>
                  <a:pt x="27" y="17"/>
                </a:lnTo>
                <a:lnTo>
                  <a:pt x="25" y="19"/>
                </a:lnTo>
                <a:lnTo>
                  <a:pt x="23" y="21"/>
                </a:lnTo>
                <a:lnTo>
                  <a:pt x="20" y="23"/>
                </a:lnTo>
                <a:lnTo>
                  <a:pt x="18" y="25"/>
                </a:lnTo>
                <a:lnTo>
                  <a:pt x="16" y="27"/>
                </a:lnTo>
                <a:lnTo>
                  <a:pt x="14" y="29"/>
                </a:lnTo>
                <a:lnTo>
                  <a:pt x="13" y="31"/>
                </a:lnTo>
                <a:lnTo>
                  <a:pt x="11" y="33"/>
                </a:lnTo>
                <a:lnTo>
                  <a:pt x="9" y="35"/>
                </a:lnTo>
                <a:lnTo>
                  <a:pt x="8" y="37"/>
                </a:lnTo>
                <a:lnTo>
                  <a:pt x="7" y="39"/>
                </a:lnTo>
                <a:lnTo>
                  <a:pt x="5" y="41"/>
                </a:lnTo>
                <a:lnTo>
                  <a:pt x="4" y="43"/>
                </a:lnTo>
                <a:lnTo>
                  <a:pt x="3" y="45"/>
                </a:lnTo>
                <a:lnTo>
                  <a:pt x="3" y="47"/>
                </a:lnTo>
                <a:lnTo>
                  <a:pt x="2" y="49"/>
                </a:lnTo>
                <a:close/>
                <a:moveTo>
                  <a:pt x="33" y="58"/>
                </a:moveTo>
                <a:lnTo>
                  <a:pt x="33" y="56"/>
                </a:lnTo>
                <a:lnTo>
                  <a:pt x="35" y="53"/>
                </a:lnTo>
                <a:lnTo>
                  <a:pt x="36" y="50"/>
                </a:lnTo>
                <a:lnTo>
                  <a:pt x="38" y="46"/>
                </a:lnTo>
                <a:lnTo>
                  <a:pt x="40" y="43"/>
                </a:lnTo>
                <a:lnTo>
                  <a:pt x="42" y="39"/>
                </a:lnTo>
                <a:lnTo>
                  <a:pt x="44" y="35"/>
                </a:lnTo>
                <a:lnTo>
                  <a:pt x="47" y="32"/>
                </a:lnTo>
                <a:lnTo>
                  <a:pt x="48" y="30"/>
                </a:lnTo>
                <a:lnTo>
                  <a:pt x="50" y="28"/>
                </a:lnTo>
                <a:lnTo>
                  <a:pt x="51" y="26"/>
                </a:lnTo>
                <a:lnTo>
                  <a:pt x="52" y="25"/>
                </a:lnTo>
                <a:lnTo>
                  <a:pt x="54" y="23"/>
                </a:lnTo>
                <a:lnTo>
                  <a:pt x="55" y="21"/>
                </a:lnTo>
                <a:lnTo>
                  <a:pt x="56" y="20"/>
                </a:lnTo>
                <a:lnTo>
                  <a:pt x="58" y="19"/>
                </a:lnTo>
                <a:lnTo>
                  <a:pt x="59" y="18"/>
                </a:lnTo>
                <a:lnTo>
                  <a:pt x="61" y="16"/>
                </a:lnTo>
                <a:lnTo>
                  <a:pt x="62" y="16"/>
                </a:lnTo>
                <a:lnTo>
                  <a:pt x="63" y="15"/>
                </a:lnTo>
                <a:lnTo>
                  <a:pt x="65" y="14"/>
                </a:lnTo>
                <a:lnTo>
                  <a:pt x="66" y="14"/>
                </a:lnTo>
                <a:lnTo>
                  <a:pt x="67" y="13"/>
                </a:lnTo>
                <a:lnTo>
                  <a:pt x="69" y="13"/>
                </a:lnTo>
                <a:lnTo>
                  <a:pt x="70" y="13"/>
                </a:lnTo>
                <a:lnTo>
                  <a:pt x="71" y="14"/>
                </a:lnTo>
                <a:lnTo>
                  <a:pt x="72" y="14"/>
                </a:lnTo>
                <a:lnTo>
                  <a:pt x="73" y="15"/>
                </a:lnTo>
                <a:lnTo>
                  <a:pt x="73" y="16"/>
                </a:lnTo>
                <a:lnTo>
                  <a:pt x="73" y="17"/>
                </a:lnTo>
                <a:lnTo>
                  <a:pt x="73" y="18"/>
                </a:lnTo>
                <a:lnTo>
                  <a:pt x="73" y="19"/>
                </a:lnTo>
                <a:lnTo>
                  <a:pt x="73" y="20"/>
                </a:lnTo>
                <a:lnTo>
                  <a:pt x="72" y="21"/>
                </a:lnTo>
                <a:lnTo>
                  <a:pt x="72" y="23"/>
                </a:lnTo>
                <a:lnTo>
                  <a:pt x="71" y="25"/>
                </a:lnTo>
                <a:lnTo>
                  <a:pt x="69" y="28"/>
                </a:lnTo>
                <a:lnTo>
                  <a:pt x="68" y="31"/>
                </a:lnTo>
                <a:lnTo>
                  <a:pt x="66" y="34"/>
                </a:lnTo>
                <a:lnTo>
                  <a:pt x="64" y="38"/>
                </a:lnTo>
                <a:lnTo>
                  <a:pt x="61" y="42"/>
                </a:lnTo>
                <a:lnTo>
                  <a:pt x="59" y="46"/>
                </a:lnTo>
                <a:lnTo>
                  <a:pt x="58" y="48"/>
                </a:lnTo>
                <a:lnTo>
                  <a:pt x="56" y="50"/>
                </a:lnTo>
                <a:lnTo>
                  <a:pt x="55" y="51"/>
                </a:lnTo>
                <a:lnTo>
                  <a:pt x="53" y="53"/>
                </a:lnTo>
                <a:lnTo>
                  <a:pt x="52" y="55"/>
                </a:lnTo>
                <a:lnTo>
                  <a:pt x="51" y="57"/>
                </a:lnTo>
                <a:lnTo>
                  <a:pt x="49" y="58"/>
                </a:lnTo>
                <a:lnTo>
                  <a:pt x="48" y="59"/>
                </a:lnTo>
                <a:lnTo>
                  <a:pt x="46" y="61"/>
                </a:lnTo>
                <a:lnTo>
                  <a:pt x="45" y="62"/>
                </a:lnTo>
                <a:lnTo>
                  <a:pt x="44" y="63"/>
                </a:lnTo>
                <a:lnTo>
                  <a:pt x="42" y="64"/>
                </a:lnTo>
                <a:lnTo>
                  <a:pt x="41" y="65"/>
                </a:lnTo>
                <a:lnTo>
                  <a:pt x="40" y="65"/>
                </a:lnTo>
                <a:lnTo>
                  <a:pt x="38" y="65"/>
                </a:lnTo>
                <a:lnTo>
                  <a:pt x="37" y="65"/>
                </a:lnTo>
                <a:lnTo>
                  <a:pt x="36" y="65"/>
                </a:lnTo>
                <a:lnTo>
                  <a:pt x="35" y="65"/>
                </a:lnTo>
                <a:lnTo>
                  <a:pt x="34" y="65"/>
                </a:lnTo>
                <a:lnTo>
                  <a:pt x="34" y="64"/>
                </a:lnTo>
                <a:lnTo>
                  <a:pt x="33" y="64"/>
                </a:lnTo>
                <a:lnTo>
                  <a:pt x="32" y="63"/>
                </a:lnTo>
                <a:lnTo>
                  <a:pt x="32" y="62"/>
                </a:lnTo>
                <a:lnTo>
                  <a:pt x="32" y="61"/>
                </a:lnTo>
                <a:lnTo>
                  <a:pt x="32" y="60"/>
                </a:lnTo>
                <a:lnTo>
                  <a:pt x="32" y="59"/>
                </a:lnTo>
                <a:lnTo>
                  <a:pt x="33" y="58"/>
                </a:lnTo>
                <a:close/>
              </a:path>
            </a:pathLst>
          </a:custGeom>
          <a:solidFill>
            <a:srgbClr val="00593C"/>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303870" name="Freeform 13">
            <a:extLst>
              <a:ext uri="{FF2B5EF4-FFF2-40B4-BE49-F238E27FC236}">
                <a16:creationId xmlns:a16="http://schemas.microsoft.com/office/drawing/2014/main" id="{085AA4DC-4E73-4D82-A1D7-196B03A2D320}"/>
              </a:ext>
            </a:extLst>
          </xdr:cNvPr>
          <xdr:cNvSpPr>
            <a:spLocks/>
          </xdr:cNvSpPr>
        </xdr:nvSpPr>
        <xdr:spPr bwMode="auto">
          <a:xfrm>
            <a:off x="1388" y="1735"/>
            <a:ext cx="80" cy="108"/>
          </a:xfrm>
          <a:custGeom>
            <a:avLst/>
            <a:gdLst>
              <a:gd name="T0" fmla="*/ 2 w 99"/>
              <a:gd name="T1" fmla="*/ 0 h 110"/>
              <a:gd name="T2" fmla="*/ 0 w 99"/>
              <a:gd name="T3" fmla="*/ 27 h 110"/>
              <a:gd name="T4" fmla="*/ 2 w 99"/>
              <a:gd name="T5" fmla="*/ 27 h 110"/>
              <a:gd name="T6" fmla="*/ 2 w 99"/>
              <a:gd name="T7" fmla="*/ 0 h 110"/>
              <a:gd name="T8" fmla="*/ 2 w 99"/>
              <a:gd name="T9" fmla="*/ 0 h 110"/>
              <a:gd name="T10" fmla="*/ 0 60000 65536"/>
              <a:gd name="T11" fmla="*/ 0 60000 65536"/>
              <a:gd name="T12" fmla="*/ 0 60000 65536"/>
              <a:gd name="T13" fmla="*/ 0 60000 65536"/>
              <a:gd name="T14" fmla="*/ 0 60000 65536"/>
              <a:gd name="T15" fmla="*/ 0 w 99"/>
              <a:gd name="T16" fmla="*/ 0 h 110"/>
              <a:gd name="T17" fmla="*/ 99 w 99"/>
              <a:gd name="T18" fmla="*/ 110 h 110"/>
            </a:gdLst>
            <a:ahLst/>
            <a:cxnLst>
              <a:cxn ang="T10">
                <a:pos x="T0" y="T1"/>
              </a:cxn>
              <a:cxn ang="T11">
                <a:pos x="T2" y="T3"/>
              </a:cxn>
              <a:cxn ang="T12">
                <a:pos x="T4" y="T5"/>
              </a:cxn>
              <a:cxn ang="T13">
                <a:pos x="T6" y="T7"/>
              </a:cxn>
              <a:cxn ang="T14">
                <a:pos x="T8" y="T9"/>
              </a:cxn>
            </a:cxnLst>
            <a:rect l="T15" t="T16" r="T17" b="T18"/>
            <a:pathLst>
              <a:path w="99" h="110">
                <a:moveTo>
                  <a:pt x="66" y="0"/>
                </a:moveTo>
                <a:lnTo>
                  <a:pt x="0" y="110"/>
                </a:lnTo>
                <a:lnTo>
                  <a:pt x="33" y="110"/>
                </a:lnTo>
                <a:lnTo>
                  <a:pt x="99" y="0"/>
                </a:lnTo>
                <a:lnTo>
                  <a:pt x="66" y="0"/>
                </a:lnTo>
                <a:close/>
              </a:path>
            </a:pathLst>
          </a:custGeom>
          <a:solidFill>
            <a:srgbClr val="00593C"/>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303871" name="Freeform 14">
            <a:extLst>
              <a:ext uri="{FF2B5EF4-FFF2-40B4-BE49-F238E27FC236}">
                <a16:creationId xmlns:a16="http://schemas.microsoft.com/office/drawing/2014/main" id="{CA317A46-CE6A-4A87-9D27-5B96EB504A80}"/>
              </a:ext>
            </a:extLst>
          </xdr:cNvPr>
          <xdr:cNvSpPr>
            <a:spLocks noEditPoints="1"/>
          </xdr:cNvSpPr>
        </xdr:nvSpPr>
        <xdr:spPr bwMode="auto">
          <a:xfrm>
            <a:off x="1440" y="1768"/>
            <a:ext cx="98" cy="76"/>
          </a:xfrm>
          <a:custGeom>
            <a:avLst/>
            <a:gdLst>
              <a:gd name="T0" fmla="*/ 2 w 121"/>
              <a:gd name="T1" fmla="*/ 4 h 78"/>
              <a:gd name="T2" fmla="*/ 2 w 121"/>
              <a:gd name="T3" fmla="*/ 2 h 78"/>
              <a:gd name="T4" fmla="*/ 2 w 121"/>
              <a:gd name="T5" fmla="*/ 1 h 78"/>
              <a:gd name="T6" fmla="*/ 2 w 121"/>
              <a:gd name="T7" fmla="*/ 0 h 78"/>
              <a:gd name="T8" fmla="*/ 2 w 121"/>
              <a:gd name="T9" fmla="*/ 1 h 78"/>
              <a:gd name="T10" fmla="*/ 2 w 121"/>
              <a:gd name="T11" fmla="*/ 3 h 78"/>
              <a:gd name="T12" fmla="*/ 2 w 121"/>
              <a:gd name="T13" fmla="*/ 6 h 78"/>
              <a:gd name="T14" fmla="*/ 2 w 121"/>
              <a:gd name="T15" fmla="*/ 11 h 78"/>
              <a:gd name="T16" fmla="*/ 2 w 121"/>
              <a:gd name="T17" fmla="*/ 17 h 78"/>
              <a:gd name="T18" fmla="*/ 2 w 121"/>
              <a:gd name="T19" fmla="*/ 19 h 78"/>
              <a:gd name="T20" fmla="*/ 2 w 121"/>
              <a:gd name="T21" fmla="*/ 19 h 78"/>
              <a:gd name="T22" fmla="*/ 2 w 121"/>
              <a:gd name="T23" fmla="*/ 19 h 78"/>
              <a:gd name="T24" fmla="*/ 2 w 121"/>
              <a:gd name="T25" fmla="*/ 19 h 78"/>
              <a:gd name="T26" fmla="*/ 2 w 121"/>
              <a:gd name="T27" fmla="*/ 19 h 78"/>
              <a:gd name="T28" fmla="*/ 1 w 121"/>
              <a:gd name="T29" fmla="*/ 19 h 78"/>
              <a:gd name="T30" fmla="*/ 0 w 121"/>
              <a:gd name="T31" fmla="*/ 19 h 78"/>
              <a:gd name="T32" fmla="*/ 0 w 121"/>
              <a:gd name="T33" fmla="*/ 19 h 78"/>
              <a:gd name="T34" fmla="*/ 1 w 121"/>
              <a:gd name="T35" fmla="*/ 19 h 78"/>
              <a:gd name="T36" fmla="*/ 2 w 121"/>
              <a:gd name="T37" fmla="*/ 19 h 78"/>
              <a:gd name="T38" fmla="*/ 2 w 121"/>
              <a:gd name="T39" fmla="*/ 19 h 78"/>
              <a:gd name="T40" fmla="*/ 2 w 121"/>
              <a:gd name="T41" fmla="*/ 19 h 78"/>
              <a:gd name="T42" fmla="*/ 2 w 121"/>
              <a:gd name="T43" fmla="*/ 19 h 78"/>
              <a:gd name="T44" fmla="*/ 2 w 121"/>
              <a:gd name="T45" fmla="*/ 19 h 78"/>
              <a:gd name="T46" fmla="*/ 2 w 121"/>
              <a:gd name="T47" fmla="*/ 19 h 78"/>
              <a:gd name="T48" fmla="*/ 2 w 121"/>
              <a:gd name="T49" fmla="*/ 19 h 78"/>
              <a:gd name="T50" fmla="*/ 2 w 121"/>
              <a:gd name="T51" fmla="*/ 19 h 78"/>
              <a:gd name="T52" fmla="*/ 2 w 121"/>
              <a:gd name="T53" fmla="*/ 19 h 78"/>
              <a:gd name="T54" fmla="*/ 2 w 121"/>
              <a:gd name="T55" fmla="*/ 19 h 78"/>
              <a:gd name="T56" fmla="*/ 2 w 121"/>
              <a:gd name="T57" fmla="*/ 19 h 78"/>
              <a:gd name="T58" fmla="*/ 2 w 121"/>
              <a:gd name="T59" fmla="*/ 19 h 78"/>
              <a:gd name="T60" fmla="*/ 2 w 121"/>
              <a:gd name="T61" fmla="*/ 19 h 78"/>
              <a:gd name="T62" fmla="*/ 2 w 121"/>
              <a:gd name="T63" fmla="*/ 19 h 78"/>
              <a:gd name="T64" fmla="*/ 2 w 121"/>
              <a:gd name="T65" fmla="*/ 19 h 78"/>
              <a:gd name="T66" fmla="*/ 2 w 121"/>
              <a:gd name="T67" fmla="*/ 19 h 78"/>
              <a:gd name="T68" fmla="*/ 2 w 121"/>
              <a:gd name="T69" fmla="*/ 19 h 78"/>
              <a:gd name="T70" fmla="*/ 2 w 121"/>
              <a:gd name="T71" fmla="*/ 19 h 78"/>
              <a:gd name="T72" fmla="*/ 2 w 121"/>
              <a:gd name="T73" fmla="*/ 19 h 78"/>
              <a:gd name="T74" fmla="*/ 2 w 121"/>
              <a:gd name="T75" fmla="*/ 19 h 78"/>
              <a:gd name="T76" fmla="*/ 2 w 121"/>
              <a:gd name="T77" fmla="*/ 19 h 78"/>
              <a:gd name="T78" fmla="*/ 2 w 121"/>
              <a:gd name="T79" fmla="*/ 19 h 78"/>
              <a:gd name="T80" fmla="*/ 2 w 121"/>
              <a:gd name="T81" fmla="*/ 19 h 78"/>
              <a:gd name="T82" fmla="*/ 2 w 121"/>
              <a:gd name="T83" fmla="*/ 17 h 78"/>
              <a:gd name="T84" fmla="*/ 2 w 121"/>
              <a:gd name="T85" fmla="*/ 15 h 78"/>
              <a:gd name="T86" fmla="*/ 2 w 121"/>
              <a:gd name="T87" fmla="*/ 14 h 78"/>
              <a:gd name="T88" fmla="*/ 2 w 121"/>
              <a:gd name="T89" fmla="*/ 14 h 78"/>
              <a:gd name="T90" fmla="*/ 2 w 121"/>
              <a:gd name="T91" fmla="*/ 18 h 78"/>
              <a:gd name="T92" fmla="*/ 2 w 121"/>
              <a:gd name="T93" fmla="*/ 19 h 78"/>
              <a:gd name="T94" fmla="*/ 2 w 121"/>
              <a:gd name="T95" fmla="*/ 19 h 78"/>
              <a:gd name="T96" fmla="*/ 2 w 121"/>
              <a:gd name="T97" fmla="*/ 19 h 78"/>
              <a:gd name="T98" fmla="*/ 2 w 121"/>
              <a:gd name="T99" fmla="*/ 19 h 78"/>
              <a:gd name="T100" fmla="*/ 2 w 121"/>
              <a:gd name="T101" fmla="*/ 19 h 78"/>
              <a:gd name="T102" fmla="*/ 2 w 121"/>
              <a:gd name="T103" fmla="*/ 19 h 78"/>
              <a:gd name="T104" fmla="*/ 2 w 121"/>
              <a:gd name="T105" fmla="*/ 19 h 78"/>
              <a:gd name="T106" fmla="*/ 2 w 121"/>
              <a:gd name="T107" fmla="*/ 19 h 78"/>
              <a:gd name="T108" fmla="*/ 2 w 121"/>
              <a:gd name="T109" fmla="*/ 19 h 78"/>
              <a:gd name="T110" fmla="*/ 2 w 121"/>
              <a:gd name="T111" fmla="*/ 19 h 78"/>
              <a:gd name="T112" fmla="*/ 2 w 121"/>
              <a:gd name="T113" fmla="*/ 19 h 78"/>
              <a:gd name="T114" fmla="*/ 2 w 121"/>
              <a:gd name="T115" fmla="*/ 19 h 78"/>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w 121"/>
              <a:gd name="T175" fmla="*/ 0 h 78"/>
              <a:gd name="T176" fmla="*/ 121 w 121"/>
              <a:gd name="T177" fmla="*/ 78 h 78"/>
            </a:gdLst>
            <a:ahLst/>
            <a:cxnLst>
              <a:cxn ang="T116">
                <a:pos x="T0" y="T1"/>
              </a:cxn>
              <a:cxn ang="T117">
                <a:pos x="T2" y="T3"/>
              </a:cxn>
              <a:cxn ang="T118">
                <a:pos x="T4" y="T5"/>
              </a:cxn>
              <a:cxn ang="T119">
                <a:pos x="T6" y="T7"/>
              </a:cxn>
              <a:cxn ang="T120">
                <a:pos x="T8" y="T9"/>
              </a:cxn>
              <a:cxn ang="T121">
                <a:pos x="T10" y="T11"/>
              </a:cxn>
              <a:cxn ang="T122">
                <a:pos x="T12" y="T13"/>
              </a:cxn>
              <a:cxn ang="T123">
                <a:pos x="T14" y="T15"/>
              </a:cxn>
              <a:cxn ang="T124">
                <a:pos x="T16" y="T17"/>
              </a:cxn>
              <a:cxn ang="T125">
                <a:pos x="T18" y="T19"/>
              </a:cxn>
              <a:cxn ang="T126">
                <a:pos x="T20" y="T21"/>
              </a:cxn>
              <a:cxn ang="T127">
                <a:pos x="T22" y="T23"/>
              </a:cxn>
              <a:cxn ang="T128">
                <a:pos x="T24" y="T25"/>
              </a:cxn>
              <a:cxn ang="T129">
                <a:pos x="T26" y="T27"/>
              </a:cxn>
              <a:cxn ang="T130">
                <a:pos x="T28" y="T29"/>
              </a:cxn>
              <a:cxn ang="T131">
                <a:pos x="T30" y="T31"/>
              </a:cxn>
              <a:cxn ang="T132">
                <a:pos x="T32" y="T33"/>
              </a:cxn>
              <a:cxn ang="T133">
                <a:pos x="T34" y="T35"/>
              </a:cxn>
              <a:cxn ang="T134">
                <a:pos x="T36" y="T37"/>
              </a:cxn>
              <a:cxn ang="T135">
                <a:pos x="T38" y="T39"/>
              </a:cxn>
              <a:cxn ang="T136">
                <a:pos x="T40" y="T41"/>
              </a:cxn>
              <a:cxn ang="T137">
                <a:pos x="T42" y="T43"/>
              </a:cxn>
              <a:cxn ang="T138">
                <a:pos x="T44" y="T45"/>
              </a:cxn>
              <a:cxn ang="T139">
                <a:pos x="T46" y="T47"/>
              </a:cxn>
              <a:cxn ang="T140">
                <a:pos x="T48" y="T49"/>
              </a:cxn>
              <a:cxn ang="T141">
                <a:pos x="T50" y="T51"/>
              </a:cxn>
              <a:cxn ang="T142">
                <a:pos x="T52" y="T53"/>
              </a:cxn>
              <a:cxn ang="T143">
                <a:pos x="T54" y="T55"/>
              </a:cxn>
              <a:cxn ang="T144">
                <a:pos x="T56" y="T57"/>
              </a:cxn>
              <a:cxn ang="T145">
                <a:pos x="T58" y="T59"/>
              </a:cxn>
              <a:cxn ang="T146">
                <a:pos x="T60" y="T61"/>
              </a:cxn>
              <a:cxn ang="T147">
                <a:pos x="T62" y="T63"/>
              </a:cxn>
              <a:cxn ang="T148">
                <a:pos x="T64" y="T65"/>
              </a:cxn>
              <a:cxn ang="T149">
                <a:pos x="T66" y="T67"/>
              </a:cxn>
              <a:cxn ang="T150">
                <a:pos x="T68" y="T69"/>
              </a:cxn>
              <a:cxn ang="T151">
                <a:pos x="T70" y="T71"/>
              </a:cxn>
              <a:cxn ang="T152">
                <a:pos x="T72" y="T73"/>
              </a:cxn>
              <a:cxn ang="T153">
                <a:pos x="T74" y="T75"/>
              </a:cxn>
              <a:cxn ang="T154">
                <a:pos x="T76" y="T77"/>
              </a:cxn>
              <a:cxn ang="T155">
                <a:pos x="T78" y="T79"/>
              </a:cxn>
              <a:cxn ang="T156">
                <a:pos x="T80" y="T81"/>
              </a:cxn>
              <a:cxn ang="T157">
                <a:pos x="T82" y="T83"/>
              </a:cxn>
              <a:cxn ang="T158">
                <a:pos x="T84" y="T85"/>
              </a:cxn>
              <a:cxn ang="T159">
                <a:pos x="T86" y="T87"/>
              </a:cxn>
              <a:cxn ang="T160">
                <a:pos x="T88" y="T89"/>
              </a:cxn>
              <a:cxn ang="T161">
                <a:pos x="T90" y="T91"/>
              </a:cxn>
              <a:cxn ang="T162">
                <a:pos x="T92" y="T93"/>
              </a:cxn>
              <a:cxn ang="T163">
                <a:pos x="T94" y="T95"/>
              </a:cxn>
              <a:cxn ang="T164">
                <a:pos x="T96" y="T97"/>
              </a:cxn>
              <a:cxn ang="T165">
                <a:pos x="T98" y="T99"/>
              </a:cxn>
              <a:cxn ang="T166">
                <a:pos x="T100" y="T101"/>
              </a:cxn>
              <a:cxn ang="T167">
                <a:pos x="T102" y="T103"/>
              </a:cxn>
              <a:cxn ang="T168">
                <a:pos x="T104" y="T105"/>
              </a:cxn>
              <a:cxn ang="T169">
                <a:pos x="T106" y="T107"/>
              </a:cxn>
              <a:cxn ang="T170">
                <a:pos x="T108" y="T109"/>
              </a:cxn>
              <a:cxn ang="T171">
                <a:pos x="T110" y="T111"/>
              </a:cxn>
              <a:cxn ang="T172">
                <a:pos x="T112" y="T113"/>
              </a:cxn>
              <a:cxn ang="T173">
                <a:pos x="T114" y="T115"/>
              </a:cxn>
            </a:cxnLst>
            <a:rect l="T174" t="T175" r="T176" b="T177"/>
            <a:pathLst>
              <a:path w="121" h="78">
                <a:moveTo>
                  <a:pt x="121" y="6"/>
                </a:moveTo>
                <a:lnTo>
                  <a:pt x="118" y="5"/>
                </a:lnTo>
                <a:lnTo>
                  <a:pt x="116" y="4"/>
                </a:lnTo>
                <a:lnTo>
                  <a:pt x="113" y="3"/>
                </a:lnTo>
                <a:lnTo>
                  <a:pt x="109" y="3"/>
                </a:lnTo>
                <a:lnTo>
                  <a:pt x="107" y="2"/>
                </a:lnTo>
                <a:lnTo>
                  <a:pt x="105" y="2"/>
                </a:lnTo>
                <a:lnTo>
                  <a:pt x="102" y="1"/>
                </a:lnTo>
                <a:lnTo>
                  <a:pt x="100" y="1"/>
                </a:lnTo>
                <a:lnTo>
                  <a:pt x="97" y="1"/>
                </a:lnTo>
                <a:lnTo>
                  <a:pt x="95" y="1"/>
                </a:lnTo>
                <a:lnTo>
                  <a:pt x="92" y="0"/>
                </a:lnTo>
                <a:lnTo>
                  <a:pt x="89" y="0"/>
                </a:lnTo>
                <a:lnTo>
                  <a:pt x="84" y="1"/>
                </a:lnTo>
                <a:lnTo>
                  <a:pt x="80" y="1"/>
                </a:lnTo>
                <a:lnTo>
                  <a:pt x="76" y="1"/>
                </a:lnTo>
                <a:lnTo>
                  <a:pt x="72" y="2"/>
                </a:lnTo>
                <a:lnTo>
                  <a:pt x="68" y="3"/>
                </a:lnTo>
                <a:lnTo>
                  <a:pt x="64" y="4"/>
                </a:lnTo>
                <a:lnTo>
                  <a:pt x="60" y="5"/>
                </a:lnTo>
                <a:lnTo>
                  <a:pt x="56" y="6"/>
                </a:lnTo>
                <a:lnTo>
                  <a:pt x="52" y="8"/>
                </a:lnTo>
                <a:lnTo>
                  <a:pt x="49" y="9"/>
                </a:lnTo>
                <a:lnTo>
                  <a:pt x="46" y="11"/>
                </a:lnTo>
                <a:lnTo>
                  <a:pt x="42" y="13"/>
                </a:lnTo>
                <a:lnTo>
                  <a:pt x="39" y="15"/>
                </a:lnTo>
                <a:lnTo>
                  <a:pt x="36" y="17"/>
                </a:lnTo>
                <a:lnTo>
                  <a:pt x="33" y="19"/>
                </a:lnTo>
                <a:lnTo>
                  <a:pt x="30" y="21"/>
                </a:lnTo>
                <a:lnTo>
                  <a:pt x="27" y="23"/>
                </a:lnTo>
                <a:lnTo>
                  <a:pt x="25" y="25"/>
                </a:lnTo>
                <a:lnTo>
                  <a:pt x="22" y="27"/>
                </a:lnTo>
                <a:lnTo>
                  <a:pt x="20" y="30"/>
                </a:lnTo>
                <a:lnTo>
                  <a:pt x="17" y="32"/>
                </a:lnTo>
                <a:lnTo>
                  <a:pt x="15" y="35"/>
                </a:lnTo>
                <a:lnTo>
                  <a:pt x="13" y="37"/>
                </a:lnTo>
                <a:lnTo>
                  <a:pt x="11" y="39"/>
                </a:lnTo>
                <a:lnTo>
                  <a:pt x="10" y="42"/>
                </a:lnTo>
                <a:lnTo>
                  <a:pt x="8" y="44"/>
                </a:lnTo>
                <a:lnTo>
                  <a:pt x="7" y="46"/>
                </a:lnTo>
                <a:lnTo>
                  <a:pt x="5" y="49"/>
                </a:lnTo>
                <a:lnTo>
                  <a:pt x="4" y="51"/>
                </a:lnTo>
                <a:lnTo>
                  <a:pt x="3" y="53"/>
                </a:lnTo>
                <a:lnTo>
                  <a:pt x="2" y="55"/>
                </a:lnTo>
                <a:lnTo>
                  <a:pt x="1" y="58"/>
                </a:lnTo>
                <a:lnTo>
                  <a:pt x="1" y="59"/>
                </a:lnTo>
                <a:lnTo>
                  <a:pt x="0" y="61"/>
                </a:lnTo>
                <a:lnTo>
                  <a:pt x="0" y="63"/>
                </a:lnTo>
                <a:lnTo>
                  <a:pt x="0" y="64"/>
                </a:lnTo>
                <a:lnTo>
                  <a:pt x="0" y="65"/>
                </a:lnTo>
                <a:lnTo>
                  <a:pt x="0" y="66"/>
                </a:lnTo>
                <a:lnTo>
                  <a:pt x="0" y="67"/>
                </a:lnTo>
                <a:lnTo>
                  <a:pt x="0" y="68"/>
                </a:lnTo>
                <a:lnTo>
                  <a:pt x="1" y="69"/>
                </a:lnTo>
                <a:lnTo>
                  <a:pt x="1" y="70"/>
                </a:lnTo>
                <a:lnTo>
                  <a:pt x="2" y="71"/>
                </a:lnTo>
                <a:lnTo>
                  <a:pt x="2" y="72"/>
                </a:lnTo>
                <a:lnTo>
                  <a:pt x="2" y="73"/>
                </a:lnTo>
                <a:lnTo>
                  <a:pt x="3" y="73"/>
                </a:lnTo>
                <a:lnTo>
                  <a:pt x="4" y="74"/>
                </a:lnTo>
                <a:lnTo>
                  <a:pt x="4" y="75"/>
                </a:lnTo>
                <a:lnTo>
                  <a:pt x="5" y="75"/>
                </a:lnTo>
                <a:lnTo>
                  <a:pt x="6" y="76"/>
                </a:lnTo>
                <a:lnTo>
                  <a:pt x="7" y="76"/>
                </a:lnTo>
                <a:lnTo>
                  <a:pt x="8" y="77"/>
                </a:lnTo>
                <a:lnTo>
                  <a:pt x="9" y="77"/>
                </a:lnTo>
                <a:lnTo>
                  <a:pt x="10" y="78"/>
                </a:lnTo>
                <a:lnTo>
                  <a:pt x="11" y="78"/>
                </a:lnTo>
                <a:lnTo>
                  <a:pt x="13" y="78"/>
                </a:lnTo>
                <a:lnTo>
                  <a:pt x="14" y="78"/>
                </a:lnTo>
                <a:lnTo>
                  <a:pt x="16" y="78"/>
                </a:lnTo>
                <a:lnTo>
                  <a:pt x="17" y="78"/>
                </a:lnTo>
                <a:lnTo>
                  <a:pt x="19" y="78"/>
                </a:lnTo>
                <a:lnTo>
                  <a:pt x="21" y="78"/>
                </a:lnTo>
                <a:lnTo>
                  <a:pt x="22" y="78"/>
                </a:lnTo>
                <a:lnTo>
                  <a:pt x="24" y="78"/>
                </a:lnTo>
                <a:lnTo>
                  <a:pt x="26" y="77"/>
                </a:lnTo>
                <a:lnTo>
                  <a:pt x="28" y="77"/>
                </a:lnTo>
                <a:lnTo>
                  <a:pt x="29" y="77"/>
                </a:lnTo>
                <a:lnTo>
                  <a:pt x="31" y="76"/>
                </a:lnTo>
                <a:lnTo>
                  <a:pt x="32" y="76"/>
                </a:lnTo>
                <a:lnTo>
                  <a:pt x="34" y="75"/>
                </a:lnTo>
                <a:lnTo>
                  <a:pt x="35" y="74"/>
                </a:lnTo>
                <a:lnTo>
                  <a:pt x="37" y="74"/>
                </a:lnTo>
                <a:lnTo>
                  <a:pt x="38" y="73"/>
                </a:lnTo>
                <a:lnTo>
                  <a:pt x="40" y="72"/>
                </a:lnTo>
                <a:lnTo>
                  <a:pt x="41" y="71"/>
                </a:lnTo>
                <a:lnTo>
                  <a:pt x="43" y="71"/>
                </a:lnTo>
                <a:lnTo>
                  <a:pt x="45" y="69"/>
                </a:lnTo>
                <a:lnTo>
                  <a:pt x="48" y="67"/>
                </a:lnTo>
                <a:lnTo>
                  <a:pt x="50" y="65"/>
                </a:lnTo>
                <a:lnTo>
                  <a:pt x="53" y="63"/>
                </a:lnTo>
                <a:lnTo>
                  <a:pt x="55" y="62"/>
                </a:lnTo>
                <a:lnTo>
                  <a:pt x="57" y="60"/>
                </a:lnTo>
                <a:lnTo>
                  <a:pt x="59" y="58"/>
                </a:lnTo>
                <a:lnTo>
                  <a:pt x="61" y="56"/>
                </a:lnTo>
                <a:lnTo>
                  <a:pt x="48" y="77"/>
                </a:lnTo>
                <a:lnTo>
                  <a:pt x="78" y="77"/>
                </a:lnTo>
                <a:lnTo>
                  <a:pt x="121" y="6"/>
                </a:lnTo>
                <a:close/>
                <a:moveTo>
                  <a:pt x="35" y="54"/>
                </a:moveTo>
                <a:lnTo>
                  <a:pt x="36" y="53"/>
                </a:lnTo>
                <a:lnTo>
                  <a:pt x="36" y="52"/>
                </a:lnTo>
                <a:lnTo>
                  <a:pt x="37" y="51"/>
                </a:lnTo>
                <a:lnTo>
                  <a:pt x="38" y="50"/>
                </a:lnTo>
                <a:lnTo>
                  <a:pt x="38" y="48"/>
                </a:lnTo>
                <a:lnTo>
                  <a:pt x="39" y="47"/>
                </a:lnTo>
                <a:lnTo>
                  <a:pt x="40" y="45"/>
                </a:lnTo>
                <a:lnTo>
                  <a:pt x="41" y="43"/>
                </a:lnTo>
                <a:lnTo>
                  <a:pt x="42" y="42"/>
                </a:lnTo>
                <a:lnTo>
                  <a:pt x="43" y="40"/>
                </a:lnTo>
                <a:lnTo>
                  <a:pt x="45" y="38"/>
                </a:lnTo>
                <a:lnTo>
                  <a:pt x="46" y="37"/>
                </a:lnTo>
                <a:lnTo>
                  <a:pt x="47" y="35"/>
                </a:lnTo>
                <a:lnTo>
                  <a:pt x="49" y="33"/>
                </a:lnTo>
                <a:lnTo>
                  <a:pt x="50" y="32"/>
                </a:lnTo>
                <a:lnTo>
                  <a:pt x="52" y="30"/>
                </a:lnTo>
                <a:lnTo>
                  <a:pt x="53" y="28"/>
                </a:lnTo>
                <a:lnTo>
                  <a:pt x="55" y="27"/>
                </a:lnTo>
                <a:lnTo>
                  <a:pt x="56" y="25"/>
                </a:lnTo>
                <a:lnTo>
                  <a:pt x="58" y="24"/>
                </a:lnTo>
                <a:lnTo>
                  <a:pt x="60" y="22"/>
                </a:lnTo>
                <a:lnTo>
                  <a:pt x="61" y="21"/>
                </a:lnTo>
                <a:lnTo>
                  <a:pt x="63" y="20"/>
                </a:lnTo>
                <a:lnTo>
                  <a:pt x="65" y="18"/>
                </a:lnTo>
                <a:lnTo>
                  <a:pt x="67" y="17"/>
                </a:lnTo>
                <a:lnTo>
                  <a:pt x="68" y="16"/>
                </a:lnTo>
                <a:lnTo>
                  <a:pt x="70" y="15"/>
                </a:lnTo>
                <a:lnTo>
                  <a:pt x="72" y="15"/>
                </a:lnTo>
                <a:lnTo>
                  <a:pt x="74" y="14"/>
                </a:lnTo>
                <a:lnTo>
                  <a:pt x="75" y="14"/>
                </a:lnTo>
                <a:lnTo>
                  <a:pt x="77" y="14"/>
                </a:lnTo>
                <a:lnTo>
                  <a:pt x="79" y="13"/>
                </a:lnTo>
                <a:lnTo>
                  <a:pt x="81" y="14"/>
                </a:lnTo>
                <a:lnTo>
                  <a:pt x="82" y="14"/>
                </a:lnTo>
                <a:lnTo>
                  <a:pt x="83" y="14"/>
                </a:lnTo>
                <a:lnTo>
                  <a:pt x="84" y="14"/>
                </a:lnTo>
                <a:lnTo>
                  <a:pt x="81" y="18"/>
                </a:lnTo>
                <a:lnTo>
                  <a:pt x="79" y="21"/>
                </a:lnTo>
                <a:lnTo>
                  <a:pt x="77" y="25"/>
                </a:lnTo>
                <a:lnTo>
                  <a:pt x="74" y="28"/>
                </a:lnTo>
                <a:lnTo>
                  <a:pt x="72" y="31"/>
                </a:lnTo>
                <a:lnTo>
                  <a:pt x="70" y="34"/>
                </a:lnTo>
                <a:lnTo>
                  <a:pt x="67" y="37"/>
                </a:lnTo>
                <a:lnTo>
                  <a:pt x="65" y="39"/>
                </a:lnTo>
                <a:lnTo>
                  <a:pt x="62" y="44"/>
                </a:lnTo>
                <a:lnTo>
                  <a:pt x="58" y="47"/>
                </a:lnTo>
                <a:lnTo>
                  <a:pt x="56" y="50"/>
                </a:lnTo>
                <a:lnTo>
                  <a:pt x="54" y="52"/>
                </a:lnTo>
                <a:lnTo>
                  <a:pt x="53" y="53"/>
                </a:lnTo>
                <a:lnTo>
                  <a:pt x="51" y="54"/>
                </a:lnTo>
                <a:lnTo>
                  <a:pt x="49" y="56"/>
                </a:lnTo>
                <a:lnTo>
                  <a:pt x="48" y="57"/>
                </a:lnTo>
                <a:lnTo>
                  <a:pt x="47" y="58"/>
                </a:lnTo>
                <a:lnTo>
                  <a:pt x="46" y="58"/>
                </a:lnTo>
                <a:lnTo>
                  <a:pt x="45" y="59"/>
                </a:lnTo>
                <a:lnTo>
                  <a:pt x="44" y="59"/>
                </a:lnTo>
                <a:lnTo>
                  <a:pt x="43" y="60"/>
                </a:lnTo>
                <a:lnTo>
                  <a:pt x="42" y="60"/>
                </a:lnTo>
                <a:lnTo>
                  <a:pt x="41" y="60"/>
                </a:lnTo>
                <a:lnTo>
                  <a:pt x="40" y="60"/>
                </a:lnTo>
                <a:lnTo>
                  <a:pt x="39" y="60"/>
                </a:lnTo>
                <a:lnTo>
                  <a:pt x="38" y="60"/>
                </a:lnTo>
                <a:lnTo>
                  <a:pt x="37" y="60"/>
                </a:lnTo>
                <a:lnTo>
                  <a:pt x="36" y="59"/>
                </a:lnTo>
                <a:lnTo>
                  <a:pt x="35" y="58"/>
                </a:lnTo>
                <a:lnTo>
                  <a:pt x="35" y="57"/>
                </a:lnTo>
                <a:lnTo>
                  <a:pt x="35" y="56"/>
                </a:lnTo>
                <a:lnTo>
                  <a:pt x="35" y="55"/>
                </a:lnTo>
                <a:lnTo>
                  <a:pt x="35" y="54"/>
                </a:lnTo>
                <a:close/>
              </a:path>
            </a:pathLst>
          </a:custGeom>
          <a:solidFill>
            <a:srgbClr val="00593C"/>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303872" name="AutoShape 15">
            <a:extLst>
              <a:ext uri="{FF2B5EF4-FFF2-40B4-BE49-F238E27FC236}">
                <a16:creationId xmlns:a16="http://schemas.microsoft.com/office/drawing/2014/main" id="{F0D4AA39-DC17-426B-9987-7C2574C6FFBA}"/>
              </a:ext>
            </a:extLst>
          </xdr:cNvPr>
          <xdr:cNvSpPr>
            <a:spLocks noChangeAspect="1" noChangeArrowheads="1"/>
          </xdr:cNvSpPr>
        </xdr:nvSpPr>
        <xdr:spPr bwMode="auto">
          <a:xfrm>
            <a:off x="576" y="1584"/>
            <a:ext cx="1056" cy="2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grpSp>
    <xdr:clientData/>
  </xdr:twoCellAnchor>
  <xdr:twoCellAnchor>
    <xdr:from>
      <xdr:col>1</xdr:col>
      <xdr:colOff>0</xdr:colOff>
      <xdr:row>2</xdr:row>
      <xdr:rowOff>0</xdr:rowOff>
    </xdr:from>
    <xdr:to>
      <xdr:col>1</xdr:col>
      <xdr:colOff>714375</xdr:colOff>
      <xdr:row>2</xdr:row>
      <xdr:rowOff>209550</xdr:rowOff>
    </xdr:to>
    <xdr:sp macro="" textlink="">
      <xdr:nvSpPr>
        <xdr:cNvPr id="19" name="Rectangle 4">
          <a:hlinkClick xmlns:r="http://schemas.openxmlformats.org/officeDocument/2006/relationships" r:id="rId1"/>
          <a:extLst>
            <a:ext uri="{FF2B5EF4-FFF2-40B4-BE49-F238E27FC236}">
              <a16:creationId xmlns:a16="http://schemas.microsoft.com/office/drawing/2014/main" id="{90B50942-1645-4923-A098-D82EB517F277}"/>
            </a:ext>
          </a:extLst>
        </xdr:cNvPr>
        <xdr:cNvSpPr>
          <a:spLocks noChangeArrowheads="1"/>
        </xdr:cNvSpPr>
      </xdr:nvSpPr>
      <xdr:spPr bwMode="auto">
        <a:xfrm>
          <a:off x="228600" y="485775"/>
          <a:ext cx="714375" cy="209550"/>
        </a:xfrm>
        <a:prstGeom prst="rect">
          <a:avLst/>
        </a:prstGeom>
        <a:solidFill>
          <a:srgbClr val="00593D"/>
        </a:solidFill>
        <a:ln w="19050">
          <a:solidFill>
            <a:srgbClr val="FFFFFF"/>
          </a:solidFill>
          <a:miter lim="800000"/>
          <a:headEnd/>
          <a:tailEnd/>
        </a:ln>
      </xdr:spPr>
      <xdr:txBody>
        <a:bodyPr vertOverflow="clip" wrap="square" lIns="27432" tIns="18288" rIns="27432" bIns="0" anchor="t" upright="1"/>
        <a:lstStyle/>
        <a:p>
          <a:pPr algn="ctr" rtl="0">
            <a:defRPr sz="1000"/>
          </a:pPr>
          <a:r>
            <a:rPr lang="pt-BR" sz="1000" b="1" i="0" u="none" strike="noStrike" baseline="0">
              <a:solidFill>
                <a:srgbClr val="FFFFFF"/>
              </a:solidFill>
              <a:latin typeface="Arial"/>
              <a:cs typeface="Arial"/>
            </a:rPr>
            <a:t>Back</a:t>
          </a:r>
        </a:p>
      </xdr:txBody>
    </xdr:sp>
    <xdr:clientData/>
  </xdr:twoCellAnchor>
</xdr:wsDr>
</file>

<file path=xl/drawings/drawing11.xml><?xml version="1.0" encoding="utf-8"?>
<xdr:wsDr xmlns:xdr="http://schemas.openxmlformats.org/drawingml/2006/spreadsheetDrawing" xmlns:a="http://schemas.openxmlformats.org/drawingml/2006/main">
  <xdr:twoCellAnchor editAs="oneCell">
    <xdr:from>
      <xdr:col>9</xdr:col>
      <xdr:colOff>319932</xdr:colOff>
      <xdr:row>2</xdr:row>
      <xdr:rowOff>103681</xdr:rowOff>
    </xdr:from>
    <xdr:to>
      <xdr:col>18</xdr:col>
      <xdr:colOff>70551</xdr:colOff>
      <xdr:row>4</xdr:row>
      <xdr:rowOff>7565</xdr:rowOff>
    </xdr:to>
    <xdr:pic>
      <xdr:nvPicPr>
        <xdr:cNvPr id="1263397" name="Picture 27">
          <a:extLst>
            <a:ext uri="{FF2B5EF4-FFF2-40B4-BE49-F238E27FC236}">
              <a16:creationId xmlns:a16="http://schemas.microsoft.com/office/drawing/2014/main" id="{3052DFA0-04C0-441A-9A03-5DEC10151E2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85455" y="588590"/>
          <a:ext cx="1239983" cy="284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30078</xdr:colOff>
      <xdr:row>2</xdr:row>
      <xdr:rowOff>40106</xdr:rowOff>
    </xdr:from>
    <xdr:to>
      <xdr:col>1</xdr:col>
      <xdr:colOff>744453</xdr:colOff>
      <xdr:row>2</xdr:row>
      <xdr:rowOff>249656</xdr:rowOff>
    </xdr:to>
    <xdr:sp macro="" textlink="">
      <xdr:nvSpPr>
        <xdr:cNvPr id="5" name="Rectangle 4">
          <a:hlinkClick xmlns:r="http://schemas.openxmlformats.org/officeDocument/2006/relationships" r:id="rId2"/>
          <a:extLst>
            <a:ext uri="{FF2B5EF4-FFF2-40B4-BE49-F238E27FC236}">
              <a16:creationId xmlns:a16="http://schemas.microsoft.com/office/drawing/2014/main" id="{73D7A2C2-0A12-47B9-801C-008C9C7046F2}"/>
            </a:ext>
          </a:extLst>
        </xdr:cNvPr>
        <xdr:cNvSpPr>
          <a:spLocks noChangeArrowheads="1"/>
        </xdr:cNvSpPr>
      </xdr:nvSpPr>
      <xdr:spPr bwMode="auto">
        <a:xfrm>
          <a:off x="260683" y="531395"/>
          <a:ext cx="714375" cy="209550"/>
        </a:xfrm>
        <a:prstGeom prst="rect">
          <a:avLst/>
        </a:prstGeom>
        <a:solidFill>
          <a:srgbClr val="00593D"/>
        </a:solidFill>
        <a:ln w="19050">
          <a:solidFill>
            <a:srgbClr val="FFFFFF"/>
          </a:solidFill>
          <a:miter lim="800000"/>
          <a:headEnd/>
          <a:tailEnd/>
        </a:ln>
      </xdr:spPr>
      <xdr:txBody>
        <a:bodyPr vertOverflow="clip" wrap="square" lIns="27432" tIns="18288" rIns="27432" bIns="0" anchor="t" upright="1"/>
        <a:lstStyle/>
        <a:p>
          <a:pPr algn="ctr" rtl="0">
            <a:defRPr sz="1000"/>
          </a:pPr>
          <a:r>
            <a:rPr lang="pt-BR" sz="1000" b="1" i="0" u="none" strike="noStrike" baseline="0">
              <a:solidFill>
                <a:srgbClr val="FFFFFF"/>
              </a:solidFill>
              <a:latin typeface="Arial"/>
              <a:cs typeface="Arial"/>
            </a:rPr>
            <a:t>Back</a:t>
          </a:r>
        </a:p>
      </xdr:txBody>
    </xdr:sp>
    <xdr:clientData/>
  </xdr:twoCellAnchor>
</xdr:wsDr>
</file>

<file path=xl/drawings/drawing12.xml><?xml version="1.0" encoding="utf-8"?>
<xdr:wsDr xmlns:xdr="http://schemas.openxmlformats.org/drawingml/2006/spreadsheetDrawing" xmlns:a="http://schemas.openxmlformats.org/drawingml/2006/main">
  <xdr:twoCellAnchor editAs="oneCell">
    <xdr:from>
      <xdr:col>11</xdr:col>
      <xdr:colOff>9525</xdr:colOff>
      <xdr:row>2</xdr:row>
      <xdr:rowOff>152400</xdr:rowOff>
    </xdr:from>
    <xdr:to>
      <xdr:col>20</xdr:col>
      <xdr:colOff>161925</xdr:colOff>
      <xdr:row>3</xdr:row>
      <xdr:rowOff>152400</xdr:rowOff>
    </xdr:to>
    <xdr:grpSp>
      <xdr:nvGrpSpPr>
        <xdr:cNvPr id="1306912" name="Group 1">
          <a:extLst>
            <a:ext uri="{FF2B5EF4-FFF2-40B4-BE49-F238E27FC236}">
              <a16:creationId xmlns:a16="http://schemas.microsoft.com/office/drawing/2014/main" id="{7ED56A74-9602-40DC-AB7A-76244063B1DE}"/>
            </a:ext>
          </a:extLst>
        </xdr:cNvPr>
        <xdr:cNvGrpSpPr>
          <a:grpSpLocks/>
        </xdr:cNvGrpSpPr>
      </xdr:nvGrpSpPr>
      <xdr:grpSpPr bwMode="auto">
        <a:xfrm>
          <a:off x="8486775" y="638175"/>
          <a:ext cx="1314450" cy="304800"/>
          <a:chOff x="480" y="1584"/>
          <a:chExt cx="1152" cy="292"/>
        </a:xfrm>
      </xdr:grpSpPr>
      <xdr:sp macro="" textlink="">
        <xdr:nvSpPr>
          <xdr:cNvPr id="1306914" name="AutoShape 2">
            <a:extLst>
              <a:ext uri="{FF2B5EF4-FFF2-40B4-BE49-F238E27FC236}">
                <a16:creationId xmlns:a16="http://schemas.microsoft.com/office/drawing/2014/main" id="{A3F5E685-5BD3-4669-96BB-93DB6B254E76}"/>
              </a:ext>
            </a:extLst>
          </xdr:cNvPr>
          <xdr:cNvSpPr>
            <a:spLocks noChangeAspect="1" noChangeArrowheads="1"/>
          </xdr:cNvSpPr>
        </xdr:nvSpPr>
        <xdr:spPr bwMode="auto">
          <a:xfrm>
            <a:off x="480" y="1599"/>
            <a:ext cx="1056" cy="2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306915" name="Freeform 3">
            <a:extLst>
              <a:ext uri="{FF2B5EF4-FFF2-40B4-BE49-F238E27FC236}">
                <a16:creationId xmlns:a16="http://schemas.microsoft.com/office/drawing/2014/main" id="{0D673D30-4EC4-444B-9B1E-5924245277F0}"/>
              </a:ext>
            </a:extLst>
          </xdr:cNvPr>
          <xdr:cNvSpPr>
            <a:spLocks/>
          </xdr:cNvSpPr>
        </xdr:nvSpPr>
        <xdr:spPr bwMode="auto">
          <a:xfrm>
            <a:off x="480" y="1759"/>
            <a:ext cx="455" cy="82"/>
          </a:xfrm>
          <a:custGeom>
            <a:avLst/>
            <a:gdLst>
              <a:gd name="T0" fmla="*/ 0 w 558"/>
              <a:gd name="T1" fmla="*/ 21 h 84"/>
              <a:gd name="T2" fmla="*/ 2 w 558"/>
              <a:gd name="T3" fmla="*/ 3 h 84"/>
              <a:gd name="T4" fmla="*/ 2 w 558"/>
              <a:gd name="T5" fmla="*/ 7 h 84"/>
              <a:gd name="T6" fmla="*/ 2 w 558"/>
              <a:gd name="T7" fmla="*/ 12 h 84"/>
              <a:gd name="T8" fmla="*/ 2 w 558"/>
              <a:gd name="T9" fmla="*/ 17 h 84"/>
              <a:gd name="T10" fmla="*/ 2 w 558"/>
              <a:gd name="T11" fmla="*/ 21 h 84"/>
              <a:gd name="T12" fmla="*/ 2 w 558"/>
              <a:gd name="T13" fmla="*/ 21 h 84"/>
              <a:gd name="T14" fmla="*/ 2 w 558"/>
              <a:gd name="T15" fmla="*/ 21 h 84"/>
              <a:gd name="T16" fmla="*/ 2 w 558"/>
              <a:gd name="T17" fmla="*/ 21 h 84"/>
              <a:gd name="T18" fmla="*/ 2 w 558"/>
              <a:gd name="T19" fmla="*/ 21 h 84"/>
              <a:gd name="T20" fmla="*/ 2 w 558"/>
              <a:gd name="T21" fmla="*/ 21 h 84"/>
              <a:gd name="T22" fmla="*/ 2 w 558"/>
              <a:gd name="T23" fmla="*/ 21 h 84"/>
              <a:gd name="T24" fmla="*/ 2 w 558"/>
              <a:gd name="T25" fmla="*/ 21 h 84"/>
              <a:gd name="T26" fmla="*/ 2 w 558"/>
              <a:gd name="T27" fmla="*/ 21 h 84"/>
              <a:gd name="T28" fmla="*/ 2 w 558"/>
              <a:gd name="T29" fmla="*/ 21 h 84"/>
              <a:gd name="T30" fmla="*/ 2 w 558"/>
              <a:gd name="T31" fmla="*/ 21 h 84"/>
              <a:gd name="T32" fmla="*/ 2 w 558"/>
              <a:gd name="T33" fmla="*/ 21 h 84"/>
              <a:gd name="T34" fmla="*/ 2 w 558"/>
              <a:gd name="T35" fmla="*/ 21 h 84"/>
              <a:gd name="T36" fmla="*/ 2 w 558"/>
              <a:gd name="T37" fmla="*/ 21 h 84"/>
              <a:gd name="T38" fmla="*/ 2 w 558"/>
              <a:gd name="T39" fmla="*/ 21 h 84"/>
              <a:gd name="T40" fmla="*/ 2 w 558"/>
              <a:gd name="T41" fmla="*/ 21 h 84"/>
              <a:gd name="T42" fmla="*/ 2 w 558"/>
              <a:gd name="T43" fmla="*/ 21 h 84"/>
              <a:gd name="T44" fmla="*/ 2 w 558"/>
              <a:gd name="T45" fmla="*/ 21 h 84"/>
              <a:gd name="T46" fmla="*/ 2 w 558"/>
              <a:gd name="T47" fmla="*/ 21 h 84"/>
              <a:gd name="T48" fmla="*/ 2 w 558"/>
              <a:gd name="T49" fmla="*/ 21 h 84"/>
              <a:gd name="T50" fmla="*/ 2 w 558"/>
              <a:gd name="T51" fmla="*/ 21 h 84"/>
              <a:gd name="T52" fmla="*/ 2 w 558"/>
              <a:gd name="T53" fmla="*/ 21 h 84"/>
              <a:gd name="T54" fmla="*/ 2 w 558"/>
              <a:gd name="T55" fmla="*/ 21 h 84"/>
              <a:gd name="T56" fmla="*/ 2 w 558"/>
              <a:gd name="T57" fmla="*/ 21 h 84"/>
              <a:gd name="T58" fmla="*/ 2 w 558"/>
              <a:gd name="T59" fmla="*/ 17 h 84"/>
              <a:gd name="T60" fmla="*/ 2 w 558"/>
              <a:gd name="T61" fmla="*/ 12 h 84"/>
              <a:gd name="T62" fmla="*/ 2 w 558"/>
              <a:gd name="T63" fmla="*/ 8 h 84"/>
              <a:gd name="T64" fmla="*/ 2 w 558"/>
              <a:gd name="T65" fmla="*/ 3 h 84"/>
              <a:gd name="T66" fmla="*/ 2 w 558"/>
              <a:gd name="T67" fmla="*/ 21 h 84"/>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w 558"/>
              <a:gd name="T103" fmla="*/ 0 h 84"/>
              <a:gd name="T104" fmla="*/ 558 w 558"/>
              <a:gd name="T105" fmla="*/ 84 h 84"/>
            </a:gdLst>
            <a:ahLst/>
            <a:cxnLst>
              <a:cxn ang="T68">
                <a:pos x="T0" y="T1"/>
              </a:cxn>
              <a:cxn ang="T69">
                <a:pos x="T2" y="T3"/>
              </a:cxn>
              <a:cxn ang="T70">
                <a:pos x="T4" y="T5"/>
              </a:cxn>
              <a:cxn ang="T71">
                <a:pos x="T6" y="T7"/>
              </a:cxn>
              <a:cxn ang="T72">
                <a:pos x="T8" y="T9"/>
              </a:cxn>
              <a:cxn ang="T73">
                <a:pos x="T10" y="T11"/>
              </a:cxn>
              <a:cxn ang="T74">
                <a:pos x="T12" y="T13"/>
              </a:cxn>
              <a:cxn ang="T75">
                <a:pos x="T14" y="T15"/>
              </a:cxn>
              <a:cxn ang="T76">
                <a:pos x="T16" y="T17"/>
              </a:cxn>
              <a:cxn ang="T77">
                <a:pos x="T18" y="T19"/>
              </a:cxn>
              <a:cxn ang="T78">
                <a:pos x="T20" y="T21"/>
              </a:cxn>
              <a:cxn ang="T79">
                <a:pos x="T22" y="T23"/>
              </a:cxn>
              <a:cxn ang="T80">
                <a:pos x="T24" y="T25"/>
              </a:cxn>
              <a:cxn ang="T81">
                <a:pos x="T26" y="T27"/>
              </a:cxn>
              <a:cxn ang="T82">
                <a:pos x="T28" y="T29"/>
              </a:cxn>
              <a:cxn ang="T83">
                <a:pos x="T30" y="T31"/>
              </a:cxn>
              <a:cxn ang="T84">
                <a:pos x="T32" y="T33"/>
              </a:cxn>
              <a:cxn ang="T85">
                <a:pos x="T34" y="T35"/>
              </a:cxn>
              <a:cxn ang="T86">
                <a:pos x="T36" y="T37"/>
              </a:cxn>
              <a:cxn ang="T87">
                <a:pos x="T38" y="T39"/>
              </a:cxn>
              <a:cxn ang="T88">
                <a:pos x="T40" y="T41"/>
              </a:cxn>
              <a:cxn ang="T89">
                <a:pos x="T42" y="T43"/>
              </a:cxn>
              <a:cxn ang="T90">
                <a:pos x="T44" y="T45"/>
              </a:cxn>
              <a:cxn ang="T91">
                <a:pos x="T46" y="T47"/>
              </a:cxn>
              <a:cxn ang="T92">
                <a:pos x="T48" y="T49"/>
              </a:cxn>
              <a:cxn ang="T93">
                <a:pos x="T50" y="T51"/>
              </a:cxn>
              <a:cxn ang="T94">
                <a:pos x="T52" y="T53"/>
              </a:cxn>
              <a:cxn ang="T95">
                <a:pos x="T54" y="T55"/>
              </a:cxn>
              <a:cxn ang="T96">
                <a:pos x="T56" y="T57"/>
              </a:cxn>
              <a:cxn ang="T97">
                <a:pos x="T58" y="T59"/>
              </a:cxn>
              <a:cxn ang="T98">
                <a:pos x="T60" y="T61"/>
              </a:cxn>
              <a:cxn ang="T99">
                <a:pos x="T62" y="T63"/>
              </a:cxn>
              <a:cxn ang="T100">
                <a:pos x="T64" y="T65"/>
              </a:cxn>
              <a:cxn ang="T101">
                <a:pos x="T66" y="T67"/>
              </a:cxn>
            </a:cxnLst>
            <a:rect l="T102" t="T103" r="T104" b="T105"/>
            <a:pathLst>
              <a:path w="558" h="84">
                <a:moveTo>
                  <a:pt x="508" y="84"/>
                </a:moveTo>
                <a:lnTo>
                  <a:pt x="0" y="84"/>
                </a:lnTo>
                <a:lnTo>
                  <a:pt x="50" y="0"/>
                </a:lnTo>
                <a:lnTo>
                  <a:pt x="54" y="3"/>
                </a:lnTo>
                <a:lnTo>
                  <a:pt x="58" y="5"/>
                </a:lnTo>
                <a:lnTo>
                  <a:pt x="63" y="7"/>
                </a:lnTo>
                <a:lnTo>
                  <a:pt x="68" y="10"/>
                </a:lnTo>
                <a:lnTo>
                  <a:pt x="73" y="12"/>
                </a:lnTo>
                <a:lnTo>
                  <a:pt x="78" y="14"/>
                </a:lnTo>
                <a:lnTo>
                  <a:pt x="84" y="17"/>
                </a:lnTo>
                <a:lnTo>
                  <a:pt x="89" y="19"/>
                </a:lnTo>
                <a:lnTo>
                  <a:pt x="95" y="21"/>
                </a:lnTo>
                <a:lnTo>
                  <a:pt x="101" y="23"/>
                </a:lnTo>
                <a:lnTo>
                  <a:pt x="108" y="25"/>
                </a:lnTo>
                <a:lnTo>
                  <a:pt x="114" y="27"/>
                </a:lnTo>
                <a:lnTo>
                  <a:pt x="121" y="28"/>
                </a:lnTo>
                <a:lnTo>
                  <a:pt x="128" y="30"/>
                </a:lnTo>
                <a:lnTo>
                  <a:pt x="135" y="32"/>
                </a:lnTo>
                <a:lnTo>
                  <a:pt x="142" y="33"/>
                </a:lnTo>
                <a:lnTo>
                  <a:pt x="149" y="35"/>
                </a:lnTo>
                <a:lnTo>
                  <a:pt x="156" y="36"/>
                </a:lnTo>
                <a:lnTo>
                  <a:pt x="164" y="37"/>
                </a:lnTo>
                <a:lnTo>
                  <a:pt x="172" y="38"/>
                </a:lnTo>
                <a:lnTo>
                  <a:pt x="180" y="39"/>
                </a:lnTo>
                <a:lnTo>
                  <a:pt x="188" y="41"/>
                </a:lnTo>
                <a:lnTo>
                  <a:pt x="196" y="41"/>
                </a:lnTo>
                <a:lnTo>
                  <a:pt x="205" y="42"/>
                </a:lnTo>
                <a:lnTo>
                  <a:pt x="213" y="43"/>
                </a:lnTo>
                <a:lnTo>
                  <a:pt x="222" y="44"/>
                </a:lnTo>
                <a:lnTo>
                  <a:pt x="231" y="44"/>
                </a:lnTo>
                <a:lnTo>
                  <a:pt x="240" y="45"/>
                </a:lnTo>
                <a:lnTo>
                  <a:pt x="249" y="45"/>
                </a:lnTo>
                <a:lnTo>
                  <a:pt x="258" y="45"/>
                </a:lnTo>
                <a:lnTo>
                  <a:pt x="267" y="45"/>
                </a:lnTo>
                <a:lnTo>
                  <a:pt x="277" y="45"/>
                </a:lnTo>
                <a:lnTo>
                  <a:pt x="287" y="45"/>
                </a:lnTo>
                <a:lnTo>
                  <a:pt x="296" y="45"/>
                </a:lnTo>
                <a:lnTo>
                  <a:pt x="306" y="45"/>
                </a:lnTo>
                <a:lnTo>
                  <a:pt x="315" y="45"/>
                </a:lnTo>
                <a:lnTo>
                  <a:pt x="325" y="44"/>
                </a:lnTo>
                <a:lnTo>
                  <a:pt x="334" y="44"/>
                </a:lnTo>
                <a:lnTo>
                  <a:pt x="344" y="43"/>
                </a:lnTo>
                <a:lnTo>
                  <a:pt x="353" y="42"/>
                </a:lnTo>
                <a:lnTo>
                  <a:pt x="362" y="41"/>
                </a:lnTo>
                <a:lnTo>
                  <a:pt x="372" y="41"/>
                </a:lnTo>
                <a:lnTo>
                  <a:pt x="381" y="39"/>
                </a:lnTo>
                <a:lnTo>
                  <a:pt x="390" y="38"/>
                </a:lnTo>
                <a:lnTo>
                  <a:pt x="399" y="37"/>
                </a:lnTo>
                <a:lnTo>
                  <a:pt x="409" y="36"/>
                </a:lnTo>
                <a:lnTo>
                  <a:pt x="418" y="35"/>
                </a:lnTo>
                <a:lnTo>
                  <a:pt x="427" y="33"/>
                </a:lnTo>
                <a:lnTo>
                  <a:pt x="436" y="32"/>
                </a:lnTo>
                <a:lnTo>
                  <a:pt x="444" y="30"/>
                </a:lnTo>
                <a:lnTo>
                  <a:pt x="453" y="28"/>
                </a:lnTo>
                <a:lnTo>
                  <a:pt x="462" y="27"/>
                </a:lnTo>
                <a:lnTo>
                  <a:pt x="470" y="25"/>
                </a:lnTo>
                <a:lnTo>
                  <a:pt x="479" y="23"/>
                </a:lnTo>
                <a:lnTo>
                  <a:pt x="487" y="21"/>
                </a:lnTo>
                <a:lnTo>
                  <a:pt x="496" y="19"/>
                </a:lnTo>
                <a:lnTo>
                  <a:pt x="504" y="17"/>
                </a:lnTo>
                <a:lnTo>
                  <a:pt x="512" y="15"/>
                </a:lnTo>
                <a:lnTo>
                  <a:pt x="520" y="12"/>
                </a:lnTo>
                <a:lnTo>
                  <a:pt x="528" y="10"/>
                </a:lnTo>
                <a:lnTo>
                  <a:pt x="535" y="8"/>
                </a:lnTo>
                <a:lnTo>
                  <a:pt x="543" y="5"/>
                </a:lnTo>
                <a:lnTo>
                  <a:pt x="550" y="3"/>
                </a:lnTo>
                <a:lnTo>
                  <a:pt x="558" y="0"/>
                </a:lnTo>
                <a:lnTo>
                  <a:pt x="508" y="84"/>
                </a:lnTo>
                <a:close/>
              </a:path>
            </a:pathLst>
          </a:custGeom>
          <a:solidFill>
            <a:srgbClr val="00593C"/>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306916" name="Freeform 4">
            <a:extLst>
              <a:ext uri="{FF2B5EF4-FFF2-40B4-BE49-F238E27FC236}">
                <a16:creationId xmlns:a16="http://schemas.microsoft.com/office/drawing/2014/main" id="{3C67A9BC-24F4-4A59-A716-639A7A46C154}"/>
              </a:ext>
            </a:extLst>
          </xdr:cNvPr>
          <xdr:cNvSpPr>
            <a:spLocks/>
          </xdr:cNvSpPr>
        </xdr:nvSpPr>
        <xdr:spPr bwMode="auto">
          <a:xfrm>
            <a:off x="814" y="1598"/>
            <a:ext cx="196" cy="156"/>
          </a:xfrm>
          <a:custGeom>
            <a:avLst/>
            <a:gdLst>
              <a:gd name="T0" fmla="*/ 2 w 241"/>
              <a:gd name="T1" fmla="*/ 39 h 158"/>
              <a:gd name="T2" fmla="*/ 2 w 241"/>
              <a:gd name="T3" fmla="*/ 39 h 158"/>
              <a:gd name="T4" fmla="*/ 2 w 241"/>
              <a:gd name="T5" fmla="*/ 39 h 158"/>
              <a:gd name="T6" fmla="*/ 2 w 241"/>
              <a:gd name="T7" fmla="*/ 39 h 158"/>
              <a:gd name="T8" fmla="*/ 2 w 241"/>
              <a:gd name="T9" fmla="*/ 39 h 158"/>
              <a:gd name="T10" fmla="*/ 2 w 241"/>
              <a:gd name="T11" fmla="*/ 39 h 158"/>
              <a:gd name="T12" fmla="*/ 2 w 241"/>
              <a:gd name="T13" fmla="*/ 39 h 158"/>
              <a:gd name="T14" fmla="*/ 2 w 241"/>
              <a:gd name="T15" fmla="*/ 39 h 158"/>
              <a:gd name="T16" fmla="*/ 2 w 241"/>
              <a:gd name="T17" fmla="*/ 39 h 158"/>
              <a:gd name="T18" fmla="*/ 1 w 241"/>
              <a:gd name="T19" fmla="*/ 39 h 158"/>
              <a:gd name="T20" fmla="*/ 1 w 241"/>
              <a:gd name="T21" fmla="*/ 39 h 158"/>
              <a:gd name="T22" fmla="*/ 2 w 241"/>
              <a:gd name="T23" fmla="*/ 39 h 158"/>
              <a:gd name="T24" fmla="*/ 2 w 241"/>
              <a:gd name="T25" fmla="*/ 39 h 158"/>
              <a:gd name="T26" fmla="*/ 2 w 241"/>
              <a:gd name="T27" fmla="*/ 39 h 158"/>
              <a:gd name="T28" fmla="*/ 2 w 241"/>
              <a:gd name="T29" fmla="*/ 39 h 158"/>
              <a:gd name="T30" fmla="*/ 2 w 241"/>
              <a:gd name="T31" fmla="*/ 30 h 158"/>
              <a:gd name="T32" fmla="*/ 2 w 241"/>
              <a:gd name="T33" fmla="*/ 19 h 158"/>
              <a:gd name="T34" fmla="*/ 2 w 241"/>
              <a:gd name="T35" fmla="*/ 10 h 158"/>
              <a:gd name="T36" fmla="*/ 2 w 241"/>
              <a:gd name="T37" fmla="*/ 3 h 158"/>
              <a:gd name="T38" fmla="*/ 2 w 241"/>
              <a:gd name="T39" fmla="*/ 1 h 158"/>
              <a:gd name="T40" fmla="*/ 2 w 241"/>
              <a:gd name="T41" fmla="*/ 1 h 158"/>
              <a:gd name="T42" fmla="*/ 2 w 241"/>
              <a:gd name="T43" fmla="*/ 3 h 158"/>
              <a:gd name="T44" fmla="*/ 2 w 241"/>
              <a:gd name="T45" fmla="*/ 39 h 158"/>
              <a:gd name="T46" fmla="*/ 2 w 241"/>
              <a:gd name="T47" fmla="*/ 36 h 158"/>
              <a:gd name="T48" fmla="*/ 2 w 241"/>
              <a:gd name="T49" fmla="*/ 33 h 158"/>
              <a:gd name="T50" fmla="*/ 2 w 241"/>
              <a:gd name="T51" fmla="*/ 31 h 158"/>
              <a:gd name="T52" fmla="*/ 2 w 241"/>
              <a:gd name="T53" fmla="*/ 29 h 158"/>
              <a:gd name="T54" fmla="*/ 2 w 241"/>
              <a:gd name="T55" fmla="*/ 28 h 158"/>
              <a:gd name="T56" fmla="*/ 2 w 241"/>
              <a:gd name="T57" fmla="*/ 29 h 158"/>
              <a:gd name="T58" fmla="*/ 2 w 241"/>
              <a:gd name="T59" fmla="*/ 30 h 158"/>
              <a:gd name="T60" fmla="*/ 2 w 241"/>
              <a:gd name="T61" fmla="*/ 34 h 158"/>
              <a:gd name="T62" fmla="*/ 2 w 241"/>
              <a:gd name="T63" fmla="*/ 39 h 158"/>
              <a:gd name="T64" fmla="*/ 2 w 241"/>
              <a:gd name="T65" fmla="*/ 39 h 158"/>
              <a:gd name="T66" fmla="*/ 2 w 241"/>
              <a:gd name="T67" fmla="*/ 39 h 158"/>
              <a:gd name="T68" fmla="*/ 2 w 241"/>
              <a:gd name="T69" fmla="*/ 39 h 158"/>
              <a:gd name="T70" fmla="*/ 2 w 241"/>
              <a:gd name="T71" fmla="*/ 39 h 158"/>
              <a:gd name="T72" fmla="*/ 2 w 241"/>
              <a:gd name="T73" fmla="*/ 39 h 158"/>
              <a:gd name="T74" fmla="*/ 2 w 241"/>
              <a:gd name="T75" fmla="*/ 39 h 158"/>
              <a:gd name="T76" fmla="*/ 2 w 241"/>
              <a:gd name="T77" fmla="*/ 39 h 158"/>
              <a:gd name="T78" fmla="*/ 2 w 241"/>
              <a:gd name="T79" fmla="*/ 39 h 158"/>
              <a:gd name="T80" fmla="*/ 2 w 241"/>
              <a:gd name="T81" fmla="*/ 39 h 158"/>
              <a:gd name="T82" fmla="*/ 2 w 241"/>
              <a:gd name="T83" fmla="*/ 39 h 158"/>
              <a:gd name="T84" fmla="*/ 2 w 241"/>
              <a:gd name="T85" fmla="*/ 39 h 158"/>
              <a:gd name="T86" fmla="*/ 2 w 241"/>
              <a:gd name="T87" fmla="*/ 39 h 158"/>
              <a:gd name="T88" fmla="*/ 2 w 241"/>
              <a:gd name="T89" fmla="*/ 39 h 158"/>
              <a:gd name="T90" fmla="*/ 2 w 241"/>
              <a:gd name="T91" fmla="*/ 39 h 158"/>
              <a:gd name="T92" fmla="*/ 2 w 241"/>
              <a:gd name="T93" fmla="*/ 39 h 158"/>
              <a:gd name="T94" fmla="*/ 2 w 241"/>
              <a:gd name="T95" fmla="*/ 39 h 158"/>
              <a:gd name="T96" fmla="*/ 2 w 241"/>
              <a:gd name="T97" fmla="*/ 39 h 158"/>
              <a:gd name="T98" fmla="*/ 2 w 241"/>
              <a:gd name="T99" fmla="*/ 39 h 158"/>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w 241"/>
              <a:gd name="T151" fmla="*/ 0 h 158"/>
              <a:gd name="T152" fmla="*/ 241 w 241"/>
              <a:gd name="T153" fmla="*/ 158 h 158"/>
            </a:gdLst>
            <a:ahLst/>
            <a:cxnLst>
              <a:cxn ang="T100">
                <a:pos x="T0" y="T1"/>
              </a:cxn>
              <a:cxn ang="T101">
                <a:pos x="T2" y="T3"/>
              </a:cxn>
              <a:cxn ang="T102">
                <a:pos x="T4" y="T5"/>
              </a:cxn>
              <a:cxn ang="T103">
                <a:pos x="T6" y="T7"/>
              </a:cxn>
              <a:cxn ang="T104">
                <a:pos x="T8" y="T9"/>
              </a:cxn>
              <a:cxn ang="T105">
                <a:pos x="T10" y="T11"/>
              </a:cxn>
              <a:cxn ang="T106">
                <a:pos x="T12" y="T13"/>
              </a:cxn>
              <a:cxn ang="T107">
                <a:pos x="T14" y="T15"/>
              </a:cxn>
              <a:cxn ang="T108">
                <a:pos x="T16" y="T17"/>
              </a:cxn>
              <a:cxn ang="T109">
                <a:pos x="T18" y="T19"/>
              </a:cxn>
              <a:cxn ang="T110">
                <a:pos x="T20" y="T21"/>
              </a:cxn>
              <a:cxn ang="T111">
                <a:pos x="T22" y="T23"/>
              </a:cxn>
              <a:cxn ang="T112">
                <a:pos x="T24" y="T25"/>
              </a:cxn>
              <a:cxn ang="T113">
                <a:pos x="T26" y="T27"/>
              </a:cxn>
              <a:cxn ang="T114">
                <a:pos x="T28" y="T29"/>
              </a:cxn>
              <a:cxn ang="T115">
                <a:pos x="T30" y="T31"/>
              </a:cxn>
              <a:cxn ang="T116">
                <a:pos x="T32" y="T33"/>
              </a:cxn>
              <a:cxn ang="T117">
                <a:pos x="T34" y="T35"/>
              </a:cxn>
              <a:cxn ang="T118">
                <a:pos x="T36" y="T37"/>
              </a:cxn>
              <a:cxn ang="T119">
                <a:pos x="T38" y="T39"/>
              </a:cxn>
              <a:cxn ang="T120">
                <a:pos x="T40" y="T41"/>
              </a:cxn>
              <a:cxn ang="T121">
                <a:pos x="T42" y="T43"/>
              </a:cxn>
              <a:cxn ang="T122">
                <a:pos x="T44" y="T45"/>
              </a:cxn>
              <a:cxn ang="T123">
                <a:pos x="T46" y="T47"/>
              </a:cxn>
              <a:cxn ang="T124">
                <a:pos x="T48" y="T49"/>
              </a:cxn>
              <a:cxn ang="T125">
                <a:pos x="T50" y="T51"/>
              </a:cxn>
              <a:cxn ang="T126">
                <a:pos x="T52" y="T53"/>
              </a:cxn>
              <a:cxn ang="T127">
                <a:pos x="T54" y="T55"/>
              </a:cxn>
              <a:cxn ang="T128">
                <a:pos x="T56" y="T57"/>
              </a:cxn>
              <a:cxn ang="T129">
                <a:pos x="T58" y="T59"/>
              </a:cxn>
              <a:cxn ang="T130">
                <a:pos x="T60" y="T61"/>
              </a:cxn>
              <a:cxn ang="T131">
                <a:pos x="T62" y="T63"/>
              </a:cxn>
              <a:cxn ang="T132">
                <a:pos x="T64" y="T65"/>
              </a:cxn>
              <a:cxn ang="T133">
                <a:pos x="T66" y="T67"/>
              </a:cxn>
              <a:cxn ang="T134">
                <a:pos x="T68" y="T69"/>
              </a:cxn>
              <a:cxn ang="T135">
                <a:pos x="T70" y="T71"/>
              </a:cxn>
              <a:cxn ang="T136">
                <a:pos x="T72" y="T73"/>
              </a:cxn>
              <a:cxn ang="T137">
                <a:pos x="T74" y="T75"/>
              </a:cxn>
              <a:cxn ang="T138">
                <a:pos x="T76" y="T77"/>
              </a:cxn>
              <a:cxn ang="T139">
                <a:pos x="T78" y="T79"/>
              </a:cxn>
              <a:cxn ang="T140">
                <a:pos x="T80" y="T81"/>
              </a:cxn>
              <a:cxn ang="T141">
                <a:pos x="T82" y="T83"/>
              </a:cxn>
              <a:cxn ang="T142">
                <a:pos x="T84" y="T85"/>
              </a:cxn>
              <a:cxn ang="T143">
                <a:pos x="T86" y="T87"/>
              </a:cxn>
              <a:cxn ang="T144">
                <a:pos x="T88" y="T89"/>
              </a:cxn>
              <a:cxn ang="T145">
                <a:pos x="T90" y="T91"/>
              </a:cxn>
              <a:cxn ang="T146">
                <a:pos x="T92" y="T93"/>
              </a:cxn>
              <a:cxn ang="T147">
                <a:pos x="T94" y="T95"/>
              </a:cxn>
              <a:cxn ang="T148">
                <a:pos x="T96" y="T97"/>
              </a:cxn>
              <a:cxn ang="T149">
                <a:pos x="T98" y="T99"/>
              </a:cxn>
            </a:cxnLst>
            <a:rect l="T150" t="T151" r="T152" b="T153"/>
            <a:pathLst>
              <a:path w="241" h="158">
                <a:moveTo>
                  <a:pt x="157" y="147"/>
                </a:moveTo>
                <a:lnTo>
                  <a:pt x="152" y="148"/>
                </a:lnTo>
                <a:lnTo>
                  <a:pt x="148" y="150"/>
                </a:lnTo>
                <a:lnTo>
                  <a:pt x="143" y="151"/>
                </a:lnTo>
                <a:lnTo>
                  <a:pt x="138" y="152"/>
                </a:lnTo>
                <a:lnTo>
                  <a:pt x="134" y="153"/>
                </a:lnTo>
                <a:lnTo>
                  <a:pt x="129" y="154"/>
                </a:lnTo>
                <a:lnTo>
                  <a:pt x="125" y="155"/>
                </a:lnTo>
                <a:lnTo>
                  <a:pt x="121" y="156"/>
                </a:lnTo>
                <a:lnTo>
                  <a:pt x="116" y="156"/>
                </a:lnTo>
                <a:lnTo>
                  <a:pt x="112" y="157"/>
                </a:lnTo>
                <a:lnTo>
                  <a:pt x="107" y="157"/>
                </a:lnTo>
                <a:lnTo>
                  <a:pt x="103" y="158"/>
                </a:lnTo>
                <a:lnTo>
                  <a:pt x="99" y="158"/>
                </a:lnTo>
                <a:lnTo>
                  <a:pt x="95" y="158"/>
                </a:lnTo>
                <a:lnTo>
                  <a:pt x="90" y="158"/>
                </a:lnTo>
                <a:lnTo>
                  <a:pt x="86" y="158"/>
                </a:lnTo>
                <a:lnTo>
                  <a:pt x="80" y="158"/>
                </a:lnTo>
                <a:lnTo>
                  <a:pt x="74" y="158"/>
                </a:lnTo>
                <a:lnTo>
                  <a:pt x="68" y="158"/>
                </a:lnTo>
                <a:lnTo>
                  <a:pt x="62" y="157"/>
                </a:lnTo>
                <a:lnTo>
                  <a:pt x="57" y="156"/>
                </a:lnTo>
                <a:lnTo>
                  <a:pt x="51" y="155"/>
                </a:lnTo>
                <a:lnTo>
                  <a:pt x="46" y="154"/>
                </a:lnTo>
                <a:lnTo>
                  <a:pt x="42" y="153"/>
                </a:lnTo>
                <a:lnTo>
                  <a:pt x="37" y="152"/>
                </a:lnTo>
                <a:lnTo>
                  <a:pt x="33" y="150"/>
                </a:lnTo>
                <a:lnTo>
                  <a:pt x="29" y="148"/>
                </a:lnTo>
                <a:lnTo>
                  <a:pt x="25" y="147"/>
                </a:lnTo>
                <a:lnTo>
                  <a:pt x="21" y="145"/>
                </a:lnTo>
                <a:lnTo>
                  <a:pt x="18" y="143"/>
                </a:lnTo>
                <a:lnTo>
                  <a:pt x="15" y="140"/>
                </a:lnTo>
                <a:lnTo>
                  <a:pt x="12" y="138"/>
                </a:lnTo>
                <a:lnTo>
                  <a:pt x="10" y="136"/>
                </a:lnTo>
                <a:lnTo>
                  <a:pt x="7" y="133"/>
                </a:lnTo>
                <a:lnTo>
                  <a:pt x="5" y="130"/>
                </a:lnTo>
                <a:lnTo>
                  <a:pt x="4" y="127"/>
                </a:lnTo>
                <a:lnTo>
                  <a:pt x="2" y="124"/>
                </a:lnTo>
                <a:lnTo>
                  <a:pt x="1" y="121"/>
                </a:lnTo>
                <a:lnTo>
                  <a:pt x="1" y="118"/>
                </a:lnTo>
                <a:lnTo>
                  <a:pt x="0" y="115"/>
                </a:lnTo>
                <a:lnTo>
                  <a:pt x="0" y="111"/>
                </a:lnTo>
                <a:lnTo>
                  <a:pt x="0" y="108"/>
                </a:lnTo>
                <a:lnTo>
                  <a:pt x="1" y="104"/>
                </a:lnTo>
                <a:lnTo>
                  <a:pt x="2" y="100"/>
                </a:lnTo>
                <a:lnTo>
                  <a:pt x="3" y="97"/>
                </a:lnTo>
                <a:lnTo>
                  <a:pt x="5" y="93"/>
                </a:lnTo>
                <a:lnTo>
                  <a:pt x="6" y="89"/>
                </a:lnTo>
                <a:lnTo>
                  <a:pt x="9" y="84"/>
                </a:lnTo>
                <a:lnTo>
                  <a:pt x="11" y="81"/>
                </a:lnTo>
                <a:lnTo>
                  <a:pt x="14" y="77"/>
                </a:lnTo>
                <a:lnTo>
                  <a:pt x="17" y="73"/>
                </a:lnTo>
                <a:lnTo>
                  <a:pt x="20" y="69"/>
                </a:lnTo>
                <a:lnTo>
                  <a:pt x="23" y="65"/>
                </a:lnTo>
                <a:lnTo>
                  <a:pt x="27" y="61"/>
                </a:lnTo>
                <a:lnTo>
                  <a:pt x="31" y="58"/>
                </a:lnTo>
                <a:lnTo>
                  <a:pt x="36" y="54"/>
                </a:lnTo>
                <a:lnTo>
                  <a:pt x="40" y="50"/>
                </a:lnTo>
                <a:lnTo>
                  <a:pt x="45" y="47"/>
                </a:lnTo>
                <a:lnTo>
                  <a:pt x="50" y="43"/>
                </a:lnTo>
                <a:lnTo>
                  <a:pt x="55" y="40"/>
                </a:lnTo>
                <a:lnTo>
                  <a:pt x="60" y="36"/>
                </a:lnTo>
                <a:lnTo>
                  <a:pt x="66" y="33"/>
                </a:lnTo>
                <a:lnTo>
                  <a:pt x="72" y="30"/>
                </a:lnTo>
                <a:lnTo>
                  <a:pt x="78" y="27"/>
                </a:lnTo>
                <a:lnTo>
                  <a:pt x="84" y="24"/>
                </a:lnTo>
                <a:lnTo>
                  <a:pt x="90" y="21"/>
                </a:lnTo>
                <a:lnTo>
                  <a:pt x="97" y="19"/>
                </a:lnTo>
                <a:lnTo>
                  <a:pt x="104" y="16"/>
                </a:lnTo>
                <a:lnTo>
                  <a:pt x="110" y="14"/>
                </a:lnTo>
                <a:lnTo>
                  <a:pt x="118" y="12"/>
                </a:lnTo>
                <a:lnTo>
                  <a:pt x="125" y="10"/>
                </a:lnTo>
                <a:lnTo>
                  <a:pt x="132" y="8"/>
                </a:lnTo>
                <a:lnTo>
                  <a:pt x="140" y="6"/>
                </a:lnTo>
                <a:lnTo>
                  <a:pt x="148" y="5"/>
                </a:lnTo>
                <a:lnTo>
                  <a:pt x="156" y="3"/>
                </a:lnTo>
                <a:lnTo>
                  <a:pt x="164" y="2"/>
                </a:lnTo>
                <a:lnTo>
                  <a:pt x="172" y="2"/>
                </a:lnTo>
                <a:lnTo>
                  <a:pt x="180" y="1"/>
                </a:lnTo>
                <a:lnTo>
                  <a:pt x="188" y="1"/>
                </a:lnTo>
                <a:lnTo>
                  <a:pt x="197" y="0"/>
                </a:lnTo>
                <a:lnTo>
                  <a:pt x="203" y="1"/>
                </a:lnTo>
                <a:lnTo>
                  <a:pt x="208" y="1"/>
                </a:lnTo>
                <a:lnTo>
                  <a:pt x="214" y="1"/>
                </a:lnTo>
                <a:lnTo>
                  <a:pt x="219" y="1"/>
                </a:lnTo>
                <a:lnTo>
                  <a:pt x="225" y="2"/>
                </a:lnTo>
                <a:lnTo>
                  <a:pt x="230" y="3"/>
                </a:lnTo>
                <a:lnTo>
                  <a:pt x="235" y="3"/>
                </a:lnTo>
                <a:lnTo>
                  <a:pt x="241" y="4"/>
                </a:lnTo>
                <a:lnTo>
                  <a:pt x="216" y="47"/>
                </a:lnTo>
                <a:lnTo>
                  <a:pt x="214" y="45"/>
                </a:lnTo>
                <a:lnTo>
                  <a:pt x="212" y="43"/>
                </a:lnTo>
                <a:lnTo>
                  <a:pt x="210" y="41"/>
                </a:lnTo>
                <a:lnTo>
                  <a:pt x="208" y="40"/>
                </a:lnTo>
                <a:lnTo>
                  <a:pt x="206" y="38"/>
                </a:lnTo>
                <a:lnTo>
                  <a:pt x="204" y="36"/>
                </a:lnTo>
                <a:lnTo>
                  <a:pt x="202" y="35"/>
                </a:lnTo>
                <a:lnTo>
                  <a:pt x="199" y="34"/>
                </a:lnTo>
                <a:lnTo>
                  <a:pt x="198" y="33"/>
                </a:lnTo>
                <a:lnTo>
                  <a:pt x="197" y="33"/>
                </a:lnTo>
                <a:lnTo>
                  <a:pt x="195" y="32"/>
                </a:lnTo>
                <a:lnTo>
                  <a:pt x="194" y="32"/>
                </a:lnTo>
                <a:lnTo>
                  <a:pt x="192" y="31"/>
                </a:lnTo>
                <a:lnTo>
                  <a:pt x="191" y="31"/>
                </a:lnTo>
                <a:lnTo>
                  <a:pt x="189" y="30"/>
                </a:lnTo>
                <a:lnTo>
                  <a:pt x="188" y="30"/>
                </a:lnTo>
                <a:lnTo>
                  <a:pt x="186" y="30"/>
                </a:lnTo>
                <a:lnTo>
                  <a:pt x="185" y="29"/>
                </a:lnTo>
                <a:lnTo>
                  <a:pt x="183" y="29"/>
                </a:lnTo>
                <a:lnTo>
                  <a:pt x="181" y="29"/>
                </a:lnTo>
                <a:lnTo>
                  <a:pt x="179" y="29"/>
                </a:lnTo>
                <a:lnTo>
                  <a:pt x="177" y="28"/>
                </a:lnTo>
                <a:lnTo>
                  <a:pt x="176" y="28"/>
                </a:lnTo>
                <a:lnTo>
                  <a:pt x="174" y="28"/>
                </a:lnTo>
                <a:lnTo>
                  <a:pt x="170" y="28"/>
                </a:lnTo>
                <a:lnTo>
                  <a:pt x="167" y="29"/>
                </a:lnTo>
                <a:lnTo>
                  <a:pt x="163" y="29"/>
                </a:lnTo>
                <a:lnTo>
                  <a:pt x="160" y="29"/>
                </a:lnTo>
                <a:lnTo>
                  <a:pt x="157" y="30"/>
                </a:lnTo>
                <a:lnTo>
                  <a:pt x="154" y="30"/>
                </a:lnTo>
                <a:lnTo>
                  <a:pt x="150" y="31"/>
                </a:lnTo>
                <a:lnTo>
                  <a:pt x="147" y="32"/>
                </a:lnTo>
                <a:lnTo>
                  <a:pt x="144" y="33"/>
                </a:lnTo>
                <a:lnTo>
                  <a:pt x="141" y="34"/>
                </a:lnTo>
                <a:lnTo>
                  <a:pt x="138" y="35"/>
                </a:lnTo>
                <a:lnTo>
                  <a:pt x="135" y="36"/>
                </a:lnTo>
                <a:lnTo>
                  <a:pt x="133" y="38"/>
                </a:lnTo>
                <a:lnTo>
                  <a:pt x="130" y="39"/>
                </a:lnTo>
                <a:lnTo>
                  <a:pt x="127" y="41"/>
                </a:lnTo>
                <a:lnTo>
                  <a:pt x="125" y="42"/>
                </a:lnTo>
                <a:lnTo>
                  <a:pt x="122" y="44"/>
                </a:lnTo>
                <a:lnTo>
                  <a:pt x="119" y="46"/>
                </a:lnTo>
                <a:lnTo>
                  <a:pt x="117" y="47"/>
                </a:lnTo>
                <a:lnTo>
                  <a:pt x="115" y="49"/>
                </a:lnTo>
                <a:lnTo>
                  <a:pt x="112" y="51"/>
                </a:lnTo>
                <a:lnTo>
                  <a:pt x="110" y="53"/>
                </a:lnTo>
                <a:lnTo>
                  <a:pt x="108" y="55"/>
                </a:lnTo>
                <a:lnTo>
                  <a:pt x="106" y="58"/>
                </a:lnTo>
                <a:lnTo>
                  <a:pt x="104" y="60"/>
                </a:lnTo>
                <a:lnTo>
                  <a:pt x="102" y="62"/>
                </a:lnTo>
                <a:lnTo>
                  <a:pt x="100" y="64"/>
                </a:lnTo>
                <a:lnTo>
                  <a:pt x="98" y="67"/>
                </a:lnTo>
                <a:lnTo>
                  <a:pt x="96" y="69"/>
                </a:lnTo>
                <a:lnTo>
                  <a:pt x="94" y="72"/>
                </a:lnTo>
                <a:lnTo>
                  <a:pt x="93" y="74"/>
                </a:lnTo>
                <a:lnTo>
                  <a:pt x="91" y="77"/>
                </a:lnTo>
                <a:lnTo>
                  <a:pt x="89" y="80"/>
                </a:lnTo>
                <a:lnTo>
                  <a:pt x="88" y="83"/>
                </a:lnTo>
                <a:lnTo>
                  <a:pt x="86" y="86"/>
                </a:lnTo>
                <a:lnTo>
                  <a:pt x="85" y="89"/>
                </a:lnTo>
                <a:lnTo>
                  <a:pt x="84" y="91"/>
                </a:lnTo>
                <a:lnTo>
                  <a:pt x="83" y="94"/>
                </a:lnTo>
                <a:lnTo>
                  <a:pt x="83" y="96"/>
                </a:lnTo>
                <a:lnTo>
                  <a:pt x="82" y="99"/>
                </a:lnTo>
                <a:lnTo>
                  <a:pt x="82" y="101"/>
                </a:lnTo>
                <a:lnTo>
                  <a:pt x="82" y="103"/>
                </a:lnTo>
                <a:lnTo>
                  <a:pt x="82" y="106"/>
                </a:lnTo>
                <a:lnTo>
                  <a:pt x="82" y="108"/>
                </a:lnTo>
                <a:lnTo>
                  <a:pt x="82" y="110"/>
                </a:lnTo>
                <a:lnTo>
                  <a:pt x="83" y="112"/>
                </a:lnTo>
                <a:lnTo>
                  <a:pt x="83" y="113"/>
                </a:lnTo>
                <a:lnTo>
                  <a:pt x="84" y="115"/>
                </a:lnTo>
                <a:lnTo>
                  <a:pt x="85" y="117"/>
                </a:lnTo>
                <a:lnTo>
                  <a:pt x="86" y="118"/>
                </a:lnTo>
                <a:lnTo>
                  <a:pt x="87" y="120"/>
                </a:lnTo>
                <a:lnTo>
                  <a:pt x="89" y="121"/>
                </a:lnTo>
                <a:lnTo>
                  <a:pt x="91" y="122"/>
                </a:lnTo>
                <a:lnTo>
                  <a:pt x="92" y="123"/>
                </a:lnTo>
                <a:lnTo>
                  <a:pt x="94" y="124"/>
                </a:lnTo>
                <a:lnTo>
                  <a:pt x="96" y="125"/>
                </a:lnTo>
                <a:lnTo>
                  <a:pt x="99" y="126"/>
                </a:lnTo>
                <a:lnTo>
                  <a:pt x="101" y="127"/>
                </a:lnTo>
                <a:lnTo>
                  <a:pt x="104" y="127"/>
                </a:lnTo>
                <a:lnTo>
                  <a:pt x="106" y="128"/>
                </a:lnTo>
                <a:lnTo>
                  <a:pt x="109" y="128"/>
                </a:lnTo>
                <a:lnTo>
                  <a:pt x="112" y="128"/>
                </a:lnTo>
                <a:lnTo>
                  <a:pt x="115" y="129"/>
                </a:lnTo>
                <a:lnTo>
                  <a:pt x="119" y="129"/>
                </a:lnTo>
                <a:lnTo>
                  <a:pt x="121" y="129"/>
                </a:lnTo>
                <a:lnTo>
                  <a:pt x="124" y="129"/>
                </a:lnTo>
                <a:lnTo>
                  <a:pt x="126" y="128"/>
                </a:lnTo>
                <a:lnTo>
                  <a:pt x="129" y="128"/>
                </a:lnTo>
                <a:lnTo>
                  <a:pt x="131" y="128"/>
                </a:lnTo>
                <a:lnTo>
                  <a:pt x="134" y="127"/>
                </a:lnTo>
                <a:lnTo>
                  <a:pt x="136" y="127"/>
                </a:lnTo>
                <a:lnTo>
                  <a:pt x="138" y="126"/>
                </a:lnTo>
                <a:lnTo>
                  <a:pt x="141" y="126"/>
                </a:lnTo>
                <a:lnTo>
                  <a:pt x="143" y="125"/>
                </a:lnTo>
                <a:lnTo>
                  <a:pt x="145" y="125"/>
                </a:lnTo>
                <a:lnTo>
                  <a:pt x="148" y="124"/>
                </a:lnTo>
                <a:lnTo>
                  <a:pt x="152" y="122"/>
                </a:lnTo>
                <a:lnTo>
                  <a:pt x="156" y="121"/>
                </a:lnTo>
                <a:lnTo>
                  <a:pt x="160" y="119"/>
                </a:lnTo>
                <a:lnTo>
                  <a:pt x="164" y="118"/>
                </a:lnTo>
                <a:lnTo>
                  <a:pt x="167" y="116"/>
                </a:lnTo>
                <a:lnTo>
                  <a:pt x="170" y="115"/>
                </a:lnTo>
                <a:lnTo>
                  <a:pt x="173" y="114"/>
                </a:lnTo>
                <a:lnTo>
                  <a:pt x="175" y="112"/>
                </a:lnTo>
                <a:lnTo>
                  <a:pt x="177" y="111"/>
                </a:lnTo>
                <a:lnTo>
                  <a:pt x="178" y="111"/>
                </a:lnTo>
                <a:lnTo>
                  <a:pt x="157" y="147"/>
                </a:lnTo>
                <a:close/>
              </a:path>
            </a:pathLst>
          </a:custGeom>
          <a:solidFill>
            <a:srgbClr val="00593C"/>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306917" name="Freeform 5">
            <a:extLst>
              <a:ext uri="{FF2B5EF4-FFF2-40B4-BE49-F238E27FC236}">
                <a16:creationId xmlns:a16="http://schemas.microsoft.com/office/drawing/2014/main" id="{FE3A5B1F-E551-4B27-9B71-4E8C1E695FBB}"/>
              </a:ext>
            </a:extLst>
          </xdr:cNvPr>
          <xdr:cNvSpPr>
            <a:spLocks/>
          </xdr:cNvSpPr>
        </xdr:nvSpPr>
        <xdr:spPr bwMode="auto">
          <a:xfrm>
            <a:off x="678" y="1603"/>
            <a:ext cx="151" cy="150"/>
          </a:xfrm>
          <a:custGeom>
            <a:avLst/>
            <a:gdLst>
              <a:gd name="T0" fmla="*/ 2 w 185"/>
              <a:gd name="T1" fmla="*/ 0 h 152"/>
              <a:gd name="T2" fmla="*/ 2 w 185"/>
              <a:gd name="T3" fmla="*/ 0 h 152"/>
              <a:gd name="T4" fmla="*/ 2 w 185"/>
              <a:gd name="T5" fmla="*/ 38 h 152"/>
              <a:gd name="T6" fmla="*/ 2 w 185"/>
              <a:gd name="T7" fmla="*/ 38 h 152"/>
              <a:gd name="T8" fmla="*/ 2 w 185"/>
              <a:gd name="T9" fmla="*/ 38 h 152"/>
              <a:gd name="T10" fmla="*/ 2 w 185"/>
              <a:gd name="T11" fmla="*/ 38 h 152"/>
              <a:gd name="T12" fmla="*/ 2 w 185"/>
              <a:gd name="T13" fmla="*/ 38 h 152"/>
              <a:gd name="T14" fmla="*/ 2 w 185"/>
              <a:gd name="T15" fmla="*/ 38 h 152"/>
              <a:gd name="T16" fmla="*/ 2 w 185"/>
              <a:gd name="T17" fmla="*/ 38 h 152"/>
              <a:gd name="T18" fmla="*/ 2 w 185"/>
              <a:gd name="T19" fmla="*/ 38 h 152"/>
              <a:gd name="T20" fmla="*/ 2 w 185"/>
              <a:gd name="T21" fmla="*/ 38 h 152"/>
              <a:gd name="T22" fmla="*/ 2 w 185"/>
              <a:gd name="T23" fmla="*/ 38 h 152"/>
              <a:gd name="T24" fmla="*/ 2 w 185"/>
              <a:gd name="T25" fmla="*/ 38 h 152"/>
              <a:gd name="T26" fmla="*/ 2 w 185"/>
              <a:gd name="T27" fmla="*/ 38 h 152"/>
              <a:gd name="T28" fmla="*/ 2 w 185"/>
              <a:gd name="T29" fmla="*/ 38 h 152"/>
              <a:gd name="T30" fmla="*/ 2 w 185"/>
              <a:gd name="T31" fmla="*/ 38 h 152"/>
              <a:gd name="T32" fmla="*/ 2 w 185"/>
              <a:gd name="T33" fmla="*/ 38 h 152"/>
              <a:gd name="T34" fmla="*/ 2 w 185"/>
              <a:gd name="T35" fmla="*/ 38 h 152"/>
              <a:gd name="T36" fmla="*/ 2 w 185"/>
              <a:gd name="T37" fmla="*/ 38 h 152"/>
              <a:gd name="T38" fmla="*/ 2 w 185"/>
              <a:gd name="T39" fmla="*/ 38 h 152"/>
              <a:gd name="T40" fmla="*/ 2 w 185"/>
              <a:gd name="T41" fmla="*/ 38 h 152"/>
              <a:gd name="T42" fmla="*/ 0 w 185"/>
              <a:gd name="T43" fmla="*/ 38 h 152"/>
              <a:gd name="T44" fmla="*/ 2 w 185"/>
              <a:gd name="T45" fmla="*/ 0 h 152"/>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w 185"/>
              <a:gd name="T70" fmla="*/ 0 h 152"/>
              <a:gd name="T71" fmla="*/ 185 w 185"/>
              <a:gd name="T72" fmla="*/ 152 h 152"/>
            </a:gdLst>
            <a:ahLst/>
            <a:cxnLst>
              <a:cxn ang="T46">
                <a:pos x="T0" y="T1"/>
              </a:cxn>
              <a:cxn ang="T47">
                <a:pos x="T2" y="T3"/>
              </a:cxn>
              <a:cxn ang="T48">
                <a:pos x="T4" y="T5"/>
              </a:cxn>
              <a:cxn ang="T49">
                <a:pos x="T6" y="T7"/>
              </a:cxn>
              <a:cxn ang="T50">
                <a:pos x="T8" y="T9"/>
              </a:cxn>
              <a:cxn ang="T51">
                <a:pos x="T10" y="T11"/>
              </a:cxn>
              <a:cxn ang="T52">
                <a:pos x="T12" y="T13"/>
              </a:cxn>
              <a:cxn ang="T53">
                <a:pos x="T14" y="T15"/>
              </a:cxn>
              <a:cxn ang="T54">
                <a:pos x="T16" y="T17"/>
              </a:cxn>
              <a:cxn ang="T55">
                <a:pos x="T18" y="T19"/>
              </a:cxn>
              <a:cxn ang="T56">
                <a:pos x="T20" y="T21"/>
              </a:cxn>
              <a:cxn ang="T57">
                <a:pos x="T22" y="T23"/>
              </a:cxn>
              <a:cxn ang="T58">
                <a:pos x="T24" y="T25"/>
              </a:cxn>
              <a:cxn ang="T59">
                <a:pos x="T26" y="T27"/>
              </a:cxn>
              <a:cxn ang="T60">
                <a:pos x="T28" y="T29"/>
              </a:cxn>
              <a:cxn ang="T61">
                <a:pos x="T30" y="T31"/>
              </a:cxn>
              <a:cxn ang="T62">
                <a:pos x="T32" y="T33"/>
              </a:cxn>
              <a:cxn ang="T63">
                <a:pos x="T34" y="T35"/>
              </a:cxn>
              <a:cxn ang="T64">
                <a:pos x="T36" y="T37"/>
              </a:cxn>
              <a:cxn ang="T65">
                <a:pos x="T38" y="T39"/>
              </a:cxn>
              <a:cxn ang="T66">
                <a:pos x="T40" y="T41"/>
              </a:cxn>
              <a:cxn ang="T67">
                <a:pos x="T42" y="T43"/>
              </a:cxn>
              <a:cxn ang="T68">
                <a:pos x="T44" y="T45"/>
              </a:cxn>
            </a:cxnLst>
            <a:rect l="T69" t="T70" r="T71" b="T72"/>
            <a:pathLst>
              <a:path w="185" h="152">
                <a:moveTo>
                  <a:pt x="90" y="0"/>
                </a:moveTo>
                <a:lnTo>
                  <a:pt x="169" y="0"/>
                </a:lnTo>
                <a:lnTo>
                  <a:pt x="96" y="123"/>
                </a:lnTo>
                <a:lnTo>
                  <a:pt x="123" y="123"/>
                </a:lnTo>
                <a:lnTo>
                  <a:pt x="128" y="123"/>
                </a:lnTo>
                <a:lnTo>
                  <a:pt x="132" y="123"/>
                </a:lnTo>
                <a:lnTo>
                  <a:pt x="136" y="123"/>
                </a:lnTo>
                <a:lnTo>
                  <a:pt x="139" y="123"/>
                </a:lnTo>
                <a:lnTo>
                  <a:pt x="143" y="123"/>
                </a:lnTo>
                <a:lnTo>
                  <a:pt x="147" y="123"/>
                </a:lnTo>
                <a:lnTo>
                  <a:pt x="150" y="123"/>
                </a:lnTo>
                <a:lnTo>
                  <a:pt x="154" y="122"/>
                </a:lnTo>
                <a:lnTo>
                  <a:pt x="157" y="122"/>
                </a:lnTo>
                <a:lnTo>
                  <a:pt x="161" y="122"/>
                </a:lnTo>
                <a:lnTo>
                  <a:pt x="165" y="122"/>
                </a:lnTo>
                <a:lnTo>
                  <a:pt x="168" y="121"/>
                </a:lnTo>
                <a:lnTo>
                  <a:pt x="172" y="121"/>
                </a:lnTo>
                <a:lnTo>
                  <a:pt x="176" y="121"/>
                </a:lnTo>
                <a:lnTo>
                  <a:pt x="181" y="120"/>
                </a:lnTo>
                <a:lnTo>
                  <a:pt x="185" y="120"/>
                </a:lnTo>
                <a:lnTo>
                  <a:pt x="166" y="152"/>
                </a:lnTo>
                <a:lnTo>
                  <a:pt x="0" y="152"/>
                </a:lnTo>
                <a:lnTo>
                  <a:pt x="90" y="0"/>
                </a:lnTo>
                <a:close/>
              </a:path>
            </a:pathLst>
          </a:custGeom>
          <a:solidFill>
            <a:srgbClr val="00593C"/>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306918" name="Freeform 6">
            <a:extLst>
              <a:ext uri="{FF2B5EF4-FFF2-40B4-BE49-F238E27FC236}">
                <a16:creationId xmlns:a16="http://schemas.microsoft.com/office/drawing/2014/main" id="{2E1DCF76-AA93-4064-9EEF-254B24310300}"/>
              </a:ext>
            </a:extLst>
          </xdr:cNvPr>
          <xdr:cNvSpPr>
            <a:spLocks/>
          </xdr:cNvSpPr>
        </xdr:nvSpPr>
        <xdr:spPr bwMode="auto">
          <a:xfrm>
            <a:off x="527" y="1598"/>
            <a:ext cx="197" cy="156"/>
          </a:xfrm>
          <a:custGeom>
            <a:avLst/>
            <a:gdLst>
              <a:gd name="T0" fmla="*/ 2 w 241"/>
              <a:gd name="T1" fmla="*/ 39 h 158"/>
              <a:gd name="T2" fmla="*/ 2 w 241"/>
              <a:gd name="T3" fmla="*/ 39 h 158"/>
              <a:gd name="T4" fmla="*/ 2 w 241"/>
              <a:gd name="T5" fmla="*/ 39 h 158"/>
              <a:gd name="T6" fmla="*/ 2 w 241"/>
              <a:gd name="T7" fmla="*/ 39 h 158"/>
              <a:gd name="T8" fmla="*/ 2 w 241"/>
              <a:gd name="T9" fmla="*/ 39 h 158"/>
              <a:gd name="T10" fmla="*/ 2 w 241"/>
              <a:gd name="T11" fmla="*/ 39 h 158"/>
              <a:gd name="T12" fmla="*/ 2 w 241"/>
              <a:gd name="T13" fmla="*/ 39 h 158"/>
              <a:gd name="T14" fmla="*/ 2 w 241"/>
              <a:gd name="T15" fmla="*/ 39 h 158"/>
              <a:gd name="T16" fmla="*/ 2 w 241"/>
              <a:gd name="T17" fmla="*/ 39 h 158"/>
              <a:gd name="T18" fmla="*/ 2 w 241"/>
              <a:gd name="T19" fmla="*/ 39 h 158"/>
              <a:gd name="T20" fmla="*/ 2 w 241"/>
              <a:gd name="T21" fmla="*/ 39 h 158"/>
              <a:gd name="T22" fmla="*/ 2 w 241"/>
              <a:gd name="T23" fmla="*/ 39 h 158"/>
              <a:gd name="T24" fmla="*/ 2 w 241"/>
              <a:gd name="T25" fmla="*/ 39 h 158"/>
              <a:gd name="T26" fmla="*/ 2 w 241"/>
              <a:gd name="T27" fmla="*/ 39 h 158"/>
              <a:gd name="T28" fmla="*/ 2 w 241"/>
              <a:gd name="T29" fmla="*/ 39 h 158"/>
              <a:gd name="T30" fmla="*/ 2 w 241"/>
              <a:gd name="T31" fmla="*/ 39 h 158"/>
              <a:gd name="T32" fmla="*/ 2 w 241"/>
              <a:gd name="T33" fmla="*/ 39 h 158"/>
              <a:gd name="T34" fmla="*/ 2 w 241"/>
              <a:gd name="T35" fmla="*/ 39 h 158"/>
              <a:gd name="T36" fmla="*/ 2 w 241"/>
              <a:gd name="T37" fmla="*/ 39 h 158"/>
              <a:gd name="T38" fmla="*/ 2 w 241"/>
              <a:gd name="T39" fmla="*/ 39 h 158"/>
              <a:gd name="T40" fmla="*/ 2 w 241"/>
              <a:gd name="T41" fmla="*/ 39 h 158"/>
              <a:gd name="T42" fmla="*/ 2 w 241"/>
              <a:gd name="T43" fmla="*/ 39 h 158"/>
              <a:gd name="T44" fmla="*/ 2 w 241"/>
              <a:gd name="T45" fmla="*/ 39 h 158"/>
              <a:gd name="T46" fmla="*/ 2 w 241"/>
              <a:gd name="T47" fmla="*/ 39 h 158"/>
              <a:gd name="T48" fmla="*/ 2 w 241"/>
              <a:gd name="T49" fmla="*/ 39 h 158"/>
              <a:gd name="T50" fmla="*/ 2 w 241"/>
              <a:gd name="T51" fmla="*/ 39 h 158"/>
              <a:gd name="T52" fmla="*/ 2 w 241"/>
              <a:gd name="T53" fmla="*/ 25 h 158"/>
              <a:gd name="T54" fmla="*/ 2 w 241"/>
              <a:gd name="T55" fmla="*/ 12 h 158"/>
              <a:gd name="T56" fmla="*/ 2 w 241"/>
              <a:gd name="T57" fmla="*/ 4 h 158"/>
              <a:gd name="T58" fmla="*/ 2 w 241"/>
              <a:gd name="T59" fmla="*/ 1 h 158"/>
              <a:gd name="T60" fmla="*/ 2 w 241"/>
              <a:gd name="T61" fmla="*/ 1 h 158"/>
              <a:gd name="T62" fmla="*/ 2 w 241"/>
              <a:gd name="T63" fmla="*/ 6 h 158"/>
              <a:gd name="T64" fmla="*/ 2 w 241"/>
              <a:gd name="T65" fmla="*/ 39 h 158"/>
              <a:gd name="T66" fmla="*/ 2 w 241"/>
              <a:gd name="T67" fmla="*/ 33 h 158"/>
              <a:gd name="T68" fmla="*/ 2 w 241"/>
              <a:gd name="T69" fmla="*/ 29 h 158"/>
              <a:gd name="T70" fmla="*/ 2 w 241"/>
              <a:gd name="T71" fmla="*/ 30 h 158"/>
              <a:gd name="T72" fmla="*/ 2 w 241"/>
              <a:gd name="T73" fmla="*/ 33 h 158"/>
              <a:gd name="T74" fmla="*/ 2 w 241"/>
              <a:gd name="T75" fmla="*/ 37 h 158"/>
              <a:gd name="T76" fmla="*/ 2 w 241"/>
              <a:gd name="T77" fmla="*/ 39 h 158"/>
              <a:gd name="T78" fmla="*/ 2 w 241"/>
              <a:gd name="T79" fmla="*/ 39 h 158"/>
              <a:gd name="T80" fmla="*/ 2 w 241"/>
              <a:gd name="T81" fmla="*/ 39 h 158"/>
              <a:gd name="T82" fmla="*/ 2 w 241"/>
              <a:gd name="T83" fmla="*/ 39 h 158"/>
              <a:gd name="T84" fmla="*/ 2 w 241"/>
              <a:gd name="T85" fmla="*/ 39 h 158"/>
              <a:gd name="T86" fmla="*/ 2 w 241"/>
              <a:gd name="T87" fmla="*/ 39 h 158"/>
              <a:gd name="T88" fmla="*/ 2 w 241"/>
              <a:gd name="T89" fmla="*/ 39 h 158"/>
              <a:gd name="T90" fmla="*/ 2 w 241"/>
              <a:gd name="T91" fmla="*/ 39 h 158"/>
              <a:gd name="T92" fmla="*/ 2 w 241"/>
              <a:gd name="T93" fmla="*/ 39 h 158"/>
              <a:gd name="T94" fmla="*/ 2 w 241"/>
              <a:gd name="T95" fmla="*/ 39 h 158"/>
              <a:gd name="T96" fmla="*/ 2 w 241"/>
              <a:gd name="T97" fmla="*/ 39 h 158"/>
              <a:gd name="T98" fmla="*/ 2 w 241"/>
              <a:gd name="T99" fmla="*/ 39 h 158"/>
              <a:gd name="T100" fmla="*/ 2 w 241"/>
              <a:gd name="T101" fmla="*/ 39 h 158"/>
              <a:gd name="T102" fmla="*/ 2 w 241"/>
              <a:gd name="T103" fmla="*/ 39 h 158"/>
              <a:gd name="T104" fmla="*/ 2 w 241"/>
              <a:gd name="T105" fmla="*/ 39 h 158"/>
              <a:gd name="T106" fmla="*/ 2 w 241"/>
              <a:gd name="T107" fmla="*/ 39 h 158"/>
              <a:gd name="T108" fmla="*/ 2 w 241"/>
              <a:gd name="T109" fmla="*/ 39 h 158"/>
              <a:gd name="T110" fmla="*/ 2 w 241"/>
              <a:gd name="T111" fmla="*/ 39 h 158"/>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w 241"/>
              <a:gd name="T169" fmla="*/ 0 h 158"/>
              <a:gd name="T170" fmla="*/ 241 w 241"/>
              <a:gd name="T171" fmla="*/ 158 h 158"/>
            </a:gdLst>
            <a:ahLst/>
            <a:cxnLst>
              <a:cxn ang="T112">
                <a:pos x="T0" y="T1"/>
              </a:cxn>
              <a:cxn ang="T113">
                <a:pos x="T2" y="T3"/>
              </a:cxn>
              <a:cxn ang="T114">
                <a:pos x="T4" y="T5"/>
              </a:cxn>
              <a:cxn ang="T115">
                <a:pos x="T6" y="T7"/>
              </a:cxn>
              <a:cxn ang="T116">
                <a:pos x="T8" y="T9"/>
              </a:cxn>
              <a:cxn ang="T117">
                <a:pos x="T10" y="T11"/>
              </a:cxn>
              <a:cxn ang="T118">
                <a:pos x="T12" y="T13"/>
              </a:cxn>
              <a:cxn ang="T119">
                <a:pos x="T14" y="T15"/>
              </a:cxn>
              <a:cxn ang="T120">
                <a:pos x="T16" y="T17"/>
              </a:cxn>
              <a:cxn ang="T121">
                <a:pos x="T18" y="T19"/>
              </a:cxn>
              <a:cxn ang="T122">
                <a:pos x="T20" y="T21"/>
              </a:cxn>
              <a:cxn ang="T123">
                <a:pos x="T22" y="T23"/>
              </a:cxn>
              <a:cxn ang="T124">
                <a:pos x="T24" y="T25"/>
              </a:cxn>
              <a:cxn ang="T125">
                <a:pos x="T26" y="T27"/>
              </a:cxn>
              <a:cxn ang="T126">
                <a:pos x="T28" y="T29"/>
              </a:cxn>
              <a:cxn ang="T127">
                <a:pos x="T30" y="T31"/>
              </a:cxn>
              <a:cxn ang="T128">
                <a:pos x="T32" y="T33"/>
              </a:cxn>
              <a:cxn ang="T129">
                <a:pos x="T34" y="T35"/>
              </a:cxn>
              <a:cxn ang="T130">
                <a:pos x="T36" y="T37"/>
              </a:cxn>
              <a:cxn ang="T131">
                <a:pos x="T38" y="T39"/>
              </a:cxn>
              <a:cxn ang="T132">
                <a:pos x="T40" y="T41"/>
              </a:cxn>
              <a:cxn ang="T133">
                <a:pos x="T42" y="T43"/>
              </a:cxn>
              <a:cxn ang="T134">
                <a:pos x="T44" y="T45"/>
              </a:cxn>
              <a:cxn ang="T135">
                <a:pos x="T46" y="T47"/>
              </a:cxn>
              <a:cxn ang="T136">
                <a:pos x="T48" y="T49"/>
              </a:cxn>
              <a:cxn ang="T137">
                <a:pos x="T50" y="T51"/>
              </a:cxn>
              <a:cxn ang="T138">
                <a:pos x="T52" y="T53"/>
              </a:cxn>
              <a:cxn ang="T139">
                <a:pos x="T54" y="T55"/>
              </a:cxn>
              <a:cxn ang="T140">
                <a:pos x="T56" y="T57"/>
              </a:cxn>
              <a:cxn ang="T141">
                <a:pos x="T58" y="T59"/>
              </a:cxn>
              <a:cxn ang="T142">
                <a:pos x="T60" y="T61"/>
              </a:cxn>
              <a:cxn ang="T143">
                <a:pos x="T62" y="T63"/>
              </a:cxn>
              <a:cxn ang="T144">
                <a:pos x="T64" y="T65"/>
              </a:cxn>
              <a:cxn ang="T145">
                <a:pos x="T66" y="T67"/>
              </a:cxn>
              <a:cxn ang="T146">
                <a:pos x="T68" y="T69"/>
              </a:cxn>
              <a:cxn ang="T147">
                <a:pos x="T70" y="T71"/>
              </a:cxn>
              <a:cxn ang="T148">
                <a:pos x="T72" y="T73"/>
              </a:cxn>
              <a:cxn ang="T149">
                <a:pos x="T74" y="T75"/>
              </a:cxn>
              <a:cxn ang="T150">
                <a:pos x="T76" y="T77"/>
              </a:cxn>
              <a:cxn ang="T151">
                <a:pos x="T78" y="T79"/>
              </a:cxn>
              <a:cxn ang="T152">
                <a:pos x="T80" y="T81"/>
              </a:cxn>
              <a:cxn ang="T153">
                <a:pos x="T82" y="T83"/>
              </a:cxn>
              <a:cxn ang="T154">
                <a:pos x="T84" y="T85"/>
              </a:cxn>
              <a:cxn ang="T155">
                <a:pos x="T86" y="T87"/>
              </a:cxn>
              <a:cxn ang="T156">
                <a:pos x="T88" y="T89"/>
              </a:cxn>
              <a:cxn ang="T157">
                <a:pos x="T90" y="T91"/>
              </a:cxn>
              <a:cxn ang="T158">
                <a:pos x="T92" y="T93"/>
              </a:cxn>
              <a:cxn ang="T159">
                <a:pos x="T94" y="T95"/>
              </a:cxn>
              <a:cxn ang="T160">
                <a:pos x="T96" y="T97"/>
              </a:cxn>
              <a:cxn ang="T161">
                <a:pos x="T98" y="T99"/>
              </a:cxn>
              <a:cxn ang="T162">
                <a:pos x="T100" y="T101"/>
              </a:cxn>
              <a:cxn ang="T163">
                <a:pos x="T102" y="T103"/>
              </a:cxn>
              <a:cxn ang="T164">
                <a:pos x="T104" y="T105"/>
              </a:cxn>
              <a:cxn ang="T165">
                <a:pos x="T106" y="T107"/>
              </a:cxn>
              <a:cxn ang="T166">
                <a:pos x="T108" y="T109"/>
              </a:cxn>
              <a:cxn ang="T167">
                <a:pos x="T110" y="T111"/>
              </a:cxn>
            </a:cxnLst>
            <a:rect l="T168" t="T169" r="T170" b="T171"/>
            <a:pathLst>
              <a:path w="241" h="158">
                <a:moveTo>
                  <a:pt x="70" y="158"/>
                </a:moveTo>
                <a:lnTo>
                  <a:pt x="65" y="158"/>
                </a:lnTo>
                <a:lnTo>
                  <a:pt x="61" y="158"/>
                </a:lnTo>
                <a:lnTo>
                  <a:pt x="56" y="158"/>
                </a:lnTo>
                <a:lnTo>
                  <a:pt x="51" y="158"/>
                </a:lnTo>
                <a:lnTo>
                  <a:pt x="47" y="157"/>
                </a:lnTo>
                <a:lnTo>
                  <a:pt x="42" y="157"/>
                </a:lnTo>
                <a:lnTo>
                  <a:pt x="38" y="157"/>
                </a:lnTo>
                <a:lnTo>
                  <a:pt x="33" y="156"/>
                </a:lnTo>
                <a:lnTo>
                  <a:pt x="29" y="155"/>
                </a:lnTo>
                <a:lnTo>
                  <a:pt x="24" y="155"/>
                </a:lnTo>
                <a:lnTo>
                  <a:pt x="20" y="154"/>
                </a:lnTo>
                <a:lnTo>
                  <a:pt x="16" y="153"/>
                </a:lnTo>
                <a:lnTo>
                  <a:pt x="11" y="152"/>
                </a:lnTo>
                <a:lnTo>
                  <a:pt x="7" y="151"/>
                </a:lnTo>
                <a:lnTo>
                  <a:pt x="3" y="150"/>
                </a:lnTo>
                <a:lnTo>
                  <a:pt x="0" y="149"/>
                </a:lnTo>
                <a:lnTo>
                  <a:pt x="22" y="111"/>
                </a:lnTo>
                <a:lnTo>
                  <a:pt x="24" y="112"/>
                </a:lnTo>
                <a:lnTo>
                  <a:pt x="25" y="113"/>
                </a:lnTo>
                <a:lnTo>
                  <a:pt x="27" y="114"/>
                </a:lnTo>
                <a:lnTo>
                  <a:pt x="28" y="115"/>
                </a:lnTo>
                <a:lnTo>
                  <a:pt x="30" y="116"/>
                </a:lnTo>
                <a:lnTo>
                  <a:pt x="32" y="117"/>
                </a:lnTo>
                <a:lnTo>
                  <a:pt x="33" y="118"/>
                </a:lnTo>
                <a:lnTo>
                  <a:pt x="35" y="118"/>
                </a:lnTo>
                <a:lnTo>
                  <a:pt x="37" y="119"/>
                </a:lnTo>
                <a:lnTo>
                  <a:pt x="39" y="120"/>
                </a:lnTo>
                <a:lnTo>
                  <a:pt x="40" y="121"/>
                </a:lnTo>
                <a:lnTo>
                  <a:pt x="42" y="121"/>
                </a:lnTo>
                <a:lnTo>
                  <a:pt x="44" y="122"/>
                </a:lnTo>
                <a:lnTo>
                  <a:pt x="46" y="123"/>
                </a:lnTo>
                <a:lnTo>
                  <a:pt x="48" y="123"/>
                </a:lnTo>
                <a:lnTo>
                  <a:pt x="50" y="124"/>
                </a:lnTo>
                <a:lnTo>
                  <a:pt x="52" y="125"/>
                </a:lnTo>
                <a:lnTo>
                  <a:pt x="54" y="125"/>
                </a:lnTo>
                <a:lnTo>
                  <a:pt x="57" y="126"/>
                </a:lnTo>
                <a:lnTo>
                  <a:pt x="59" y="126"/>
                </a:lnTo>
                <a:lnTo>
                  <a:pt x="61" y="126"/>
                </a:lnTo>
                <a:lnTo>
                  <a:pt x="63" y="127"/>
                </a:lnTo>
                <a:lnTo>
                  <a:pt x="66" y="127"/>
                </a:lnTo>
                <a:lnTo>
                  <a:pt x="68" y="127"/>
                </a:lnTo>
                <a:lnTo>
                  <a:pt x="73" y="128"/>
                </a:lnTo>
                <a:lnTo>
                  <a:pt x="77" y="128"/>
                </a:lnTo>
                <a:lnTo>
                  <a:pt x="82" y="129"/>
                </a:lnTo>
                <a:lnTo>
                  <a:pt x="87" y="129"/>
                </a:lnTo>
                <a:lnTo>
                  <a:pt x="91" y="129"/>
                </a:lnTo>
                <a:lnTo>
                  <a:pt x="95" y="128"/>
                </a:lnTo>
                <a:lnTo>
                  <a:pt x="99" y="128"/>
                </a:lnTo>
                <a:lnTo>
                  <a:pt x="102" y="128"/>
                </a:lnTo>
                <a:lnTo>
                  <a:pt x="106" y="127"/>
                </a:lnTo>
                <a:lnTo>
                  <a:pt x="109" y="126"/>
                </a:lnTo>
                <a:lnTo>
                  <a:pt x="112" y="125"/>
                </a:lnTo>
                <a:lnTo>
                  <a:pt x="115" y="125"/>
                </a:lnTo>
                <a:lnTo>
                  <a:pt x="117" y="124"/>
                </a:lnTo>
                <a:lnTo>
                  <a:pt x="120" y="123"/>
                </a:lnTo>
                <a:lnTo>
                  <a:pt x="122" y="121"/>
                </a:lnTo>
                <a:lnTo>
                  <a:pt x="124" y="120"/>
                </a:lnTo>
                <a:lnTo>
                  <a:pt x="125" y="119"/>
                </a:lnTo>
                <a:lnTo>
                  <a:pt x="126" y="119"/>
                </a:lnTo>
                <a:lnTo>
                  <a:pt x="127" y="118"/>
                </a:lnTo>
                <a:lnTo>
                  <a:pt x="127" y="117"/>
                </a:lnTo>
                <a:lnTo>
                  <a:pt x="128" y="117"/>
                </a:lnTo>
                <a:lnTo>
                  <a:pt x="128" y="116"/>
                </a:lnTo>
                <a:lnTo>
                  <a:pt x="129" y="115"/>
                </a:lnTo>
                <a:lnTo>
                  <a:pt x="129" y="114"/>
                </a:lnTo>
                <a:lnTo>
                  <a:pt x="130" y="113"/>
                </a:lnTo>
                <a:lnTo>
                  <a:pt x="130" y="112"/>
                </a:lnTo>
                <a:lnTo>
                  <a:pt x="130" y="111"/>
                </a:lnTo>
                <a:lnTo>
                  <a:pt x="130" y="110"/>
                </a:lnTo>
                <a:lnTo>
                  <a:pt x="129" y="109"/>
                </a:lnTo>
                <a:lnTo>
                  <a:pt x="129" y="108"/>
                </a:lnTo>
                <a:lnTo>
                  <a:pt x="128" y="108"/>
                </a:lnTo>
                <a:lnTo>
                  <a:pt x="128" y="107"/>
                </a:lnTo>
                <a:lnTo>
                  <a:pt x="127" y="107"/>
                </a:lnTo>
                <a:lnTo>
                  <a:pt x="127" y="106"/>
                </a:lnTo>
                <a:lnTo>
                  <a:pt x="126" y="106"/>
                </a:lnTo>
                <a:lnTo>
                  <a:pt x="125" y="105"/>
                </a:lnTo>
                <a:lnTo>
                  <a:pt x="124" y="104"/>
                </a:lnTo>
                <a:lnTo>
                  <a:pt x="122" y="104"/>
                </a:lnTo>
                <a:lnTo>
                  <a:pt x="121" y="103"/>
                </a:lnTo>
                <a:lnTo>
                  <a:pt x="119" y="102"/>
                </a:lnTo>
                <a:lnTo>
                  <a:pt x="116" y="101"/>
                </a:lnTo>
                <a:lnTo>
                  <a:pt x="113" y="100"/>
                </a:lnTo>
                <a:lnTo>
                  <a:pt x="111" y="99"/>
                </a:lnTo>
                <a:lnTo>
                  <a:pt x="109" y="99"/>
                </a:lnTo>
                <a:lnTo>
                  <a:pt x="107" y="98"/>
                </a:lnTo>
                <a:lnTo>
                  <a:pt x="105" y="97"/>
                </a:lnTo>
                <a:lnTo>
                  <a:pt x="102" y="97"/>
                </a:lnTo>
                <a:lnTo>
                  <a:pt x="100" y="96"/>
                </a:lnTo>
                <a:lnTo>
                  <a:pt x="97" y="95"/>
                </a:lnTo>
                <a:lnTo>
                  <a:pt x="95" y="94"/>
                </a:lnTo>
                <a:lnTo>
                  <a:pt x="92" y="93"/>
                </a:lnTo>
                <a:lnTo>
                  <a:pt x="89" y="92"/>
                </a:lnTo>
                <a:lnTo>
                  <a:pt x="86" y="91"/>
                </a:lnTo>
                <a:lnTo>
                  <a:pt x="84" y="90"/>
                </a:lnTo>
                <a:lnTo>
                  <a:pt x="81" y="89"/>
                </a:lnTo>
                <a:lnTo>
                  <a:pt x="79" y="88"/>
                </a:lnTo>
                <a:lnTo>
                  <a:pt x="76" y="87"/>
                </a:lnTo>
                <a:lnTo>
                  <a:pt x="74" y="86"/>
                </a:lnTo>
                <a:lnTo>
                  <a:pt x="72" y="85"/>
                </a:lnTo>
                <a:lnTo>
                  <a:pt x="70" y="84"/>
                </a:lnTo>
                <a:lnTo>
                  <a:pt x="68" y="83"/>
                </a:lnTo>
                <a:lnTo>
                  <a:pt x="66" y="82"/>
                </a:lnTo>
                <a:lnTo>
                  <a:pt x="65" y="81"/>
                </a:lnTo>
                <a:lnTo>
                  <a:pt x="63" y="80"/>
                </a:lnTo>
                <a:lnTo>
                  <a:pt x="62" y="78"/>
                </a:lnTo>
                <a:lnTo>
                  <a:pt x="60" y="77"/>
                </a:lnTo>
                <a:lnTo>
                  <a:pt x="59" y="76"/>
                </a:lnTo>
                <a:lnTo>
                  <a:pt x="58" y="74"/>
                </a:lnTo>
                <a:lnTo>
                  <a:pt x="57" y="73"/>
                </a:lnTo>
                <a:lnTo>
                  <a:pt x="56" y="71"/>
                </a:lnTo>
                <a:lnTo>
                  <a:pt x="56" y="70"/>
                </a:lnTo>
                <a:lnTo>
                  <a:pt x="55" y="68"/>
                </a:lnTo>
                <a:lnTo>
                  <a:pt x="55" y="67"/>
                </a:lnTo>
                <a:lnTo>
                  <a:pt x="55" y="65"/>
                </a:lnTo>
                <a:lnTo>
                  <a:pt x="55" y="63"/>
                </a:lnTo>
                <a:lnTo>
                  <a:pt x="55" y="62"/>
                </a:lnTo>
                <a:lnTo>
                  <a:pt x="55" y="60"/>
                </a:lnTo>
                <a:lnTo>
                  <a:pt x="55" y="58"/>
                </a:lnTo>
                <a:lnTo>
                  <a:pt x="56" y="56"/>
                </a:lnTo>
                <a:lnTo>
                  <a:pt x="57" y="54"/>
                </a:lnTo>
                <a:lnTo>
                  <a:pt x="58" y="52"/>
                </a:lnTo>
                <a:lnTo>
                  <a:pt x="59" y="50"/>
                </a:lnTo>
                <a:lnTo>
                  <a:pt x="62" y="46"/>
                </a:lnTo>
                <a:lnTo>
                  <a:pt x="65" y="42"/>
                </a:lnTo>
                <a:lnTo>
                  <a:pt x="68" y="38"/>
                </a:lnTo>
                <a:lnTo>
                  <a:pt x="72" y="34"/>
                </a:lnTo>
                <a:lnTo>
                  <a:pt x="77" y="31"/>
                </a:lnTo>
                <a:lnTo>
                  <a:pt x="81" y="28"/>
                </a:lnTo>
                <a:lnTo>
                  <a:pt x="86" y="25"/>
                </a:lnTo>
                <a:lnTo>
                  <a:pt x="91" y="22"/>
                </a:lnTo>
                <a:lnTo>
                  <a:pt x="96" y="19"/>
                </a:lnTo>
                <a:lnTo>
                  <a:pt x="102" y="17"/>
                </a:lnTo>
                <a:lnTo>
                  <a:pt x="108" y="14"/>
                </a:lnTo>
                <a:lnTo>
                  <a:pt x="114" y="12"/>
                </a:lnTo>
                <a:lnTo>
                  <a:pt x="120" y="10"/>
                </a:lnTo>
                <a:lnTo>
                  <a:pt x="126" y="9"/>
                </a:lnTo>
                <a:lnTo>
                  <a:pt x="133" y="7"/>
                </a:lnTo>
                <a:lnTo>
                  <a:pt x="139" y="6"/>
                </a:lnTo>
                <a:lnTo>
                  <a:pt x="146" y="4"/>
                </a:lnTo>
                <a:lnTo>
                  <a:pt x="153" y="3"/>
                </a:lnTo>
                <a:lnTo>
                  <a:pt x="159" y="2"/>
                </a:lnTo>
                <a:lnTo>
                  <a:pt x="166" y="2"/>
                </a:lnTo>
                <a:lnTo>
                  <a:pt x="173" y="1"/>
                </a:lnTo>
                <a:lnTo>
                  <a:pt x="180" y="1"/>
                </a:lnTo>
                <a:lnTo>
                  <a:pt x="186" y="1"/>
                </a:lnTo>
                <a:lnTo>
                  <a:pt x="193" y="0"/>
                </a:lnTo>
                <a:lnTo>
                  <a:pt x="199" y="1"/>
                </a:lnTo>
                <a:lnTo>
                  <a:pt x="206" y="1"/>
                </a:lnTo>
                <a:lnTo>
                  <a:pt x="212" y="1"/>
                </a:lnTo>
                <a:lnTo>
                  <a:pt x="218" y="2"/>
                </a:lnTo>
                <a:lnTo>
                  <a:pt x="224" y="3"/>
                </a:lnTo>
                <a:lnTo>
                  <a:pt x="230" y="3"/>
                </a:lnTo>
                <a:lnTo>
                  <a:pt x="235" y="5"/>
                </a:lnTo>
                <a:lnTo>
                  <a:pt x="241" y="6"/>
                </a:lnTo>
                <a:lnTo>
                  <a:pt x="218" y="45"/>
                </a:lnTo>
                <a:lnTo>
                  <a:pt x="215" y="43"/>
                </a:lnTo>
                <a:lnTo>
                  <a:pt x="213" y="42"/>
                </a:lnTo>
                <a:lnTo>
                  <a:pt x="210" y="40"/>
                </a:lnTo>
                <a:lnTo>
                  <a:pt x="207" y="39"/>
                </a:lnTo>
                <a:lnTo>
                  <a:pt x="204" y="37"/>
                </a:lnTo>
                <a:lnTo>
                  <a:pt x="201" y="36"/>
                </a:lnTo>
                <a:lnTo>
                  <a:pt x="198" y="35"/>
                </a:lnTo>
                <a:lnTo>
                  <a:pt x="195" y="34"/>
                </a:lnTo>
                <a:lnTo>
                  <a:pt x="192" y="33"/>
                </a:lnTo>
                <a:lnTo>
                  <a:pt x="189" y="32"/>
                </a:lnTo>
                <a:lnTo>
                  <a:pt x="185" y="31"/>
                </a:lnTo>
                <a:lnTo>
                  <a:pt x="182" y="30"/>
                </a:lnTo>
                <a:lnTo>
                  <a:pt x="178" y="30"/>
                </a:lnTo>
                <a:lnTo>
                  <a:pt x="174" y="29"/>
                </a:lnTo>
                <a:lnTo>
                  <a:pt x="170" y="29"/>
                </a:lnTo>
                <a:lnTo>
                  <a:pt x="166" y="29"/>
                </a:lnTo>
                <a:lnTo>
                  <a:pt x="163" y="29"/>
                </a:lnTo>
                <a:lnTo>
                  <a:pt x="159" y="29"/>
                </a:lnTo>
                <a:lnTo>
                  <a:pt x="156" y="30"/>
                </a:lnTo>
                <a:lnTo>
                  <a:pt x="153" y="30"/>
                </a:lnTo>
                <a:lnTo>
                  <a:pt x="150" y="31"/>
                </a:lnTo>
                <a:lnTo>
                  <a:pt x="148" y="31"/>
                </a:lnTo>
                <a:lnTo>
                  <a:pt x="145" y="32"/>
                </a:lnTo>
                <a:lnTo>
                  <a:pt x="143" y="33"/>
                </a:lnTo>
                <a:lnTo>
                  <a:pt x="141" y="34"/>
                </a:lnTo>
                <a:lnTo>
                  <a:pt x="140" y="34"/>
                </a:lnTo>
                <a:lnTo>
                  <a:pt x="138" y="35"/>
                </a:lnTo>
                <a:lnTo>
                  <a:pt x="137" y="36"/>
                </a:lnTo>
                <a:lnTo>
                  <a:pt x="136" y="37"/>
                </a:lnTo>
                <a:lnTo>
                  <a:pt x="135" y="38"/>
                </a:lnTo>
                <a:lnTo>
                  <a:pt x="134" y="39"/>
                </a:lnTo>
                <a:lnTo>
                  <a:pt x="133" y="40"/>
                </a:lnTo>
                <a:lnTo>
                  <a:pt x="133" y="41"/>
                </a:lnTo>
                <a:lnTo>
                  <a:pt x="133" y="42"/>
                </a:lnTo>
                <a:lnTo>
                  <a:pt x="132" y="42"/>
                </a:lnTo>
                <a:lnTo>
                  <a:pt x="132" y="43"/>
                </a:lnTo>
                <a:lnTo>
                  <a:pt x="133" y="44"/>
                </a:lnTo>
                <a:lnTo>
                  <a:pt x="133" y="45"/>
                </a:lnTo>
                <a:lnTo>
                  <a:pt x="134" y="46"/>
                </a:lnTo>
                <a:lnTo>
                  <a:pt x="135" y="47"/>
                </a:lnTo>
                <a:lnTo>
                  <a:pt x="136" y="48"/>
                </a:lnTo>
                <a:lnTo>
                  <a:pt x="137" y="48"/>
                </a:lnTo>
                <a:lnTo>
                  <a:pt x="138" y="49"/>
                </a:lnTo>
                <a:lnTo>
                  <a:pt x="139" y="49"/>
                </a:lnTo>
                <a:lnTo>
                  <a:pt x="141" y="50"/>
                </a:lnTo>
                <a:lnTo>
                  <a:pt x="143" y="51"/>
                </a:lnTo>
                <a:lnTo>
                  <a:pt x="144" y="51"/>
                </a:lnTo>
                <a:lnTo>
                  <a:pt x="146" y="52"/>
                </a:lnTo>
                <a:lnTo>
                  <a:pt x="150" y="54"/>
                </a:lnTo>
                <a:lnTo>
                  <a:pt x="155" y="55"/>
                </a:lnTo>
                <a:lnTo>
                  <a:pt x="160" y="57"/>
                </a:lnTo>
                <a:lnTo>
                  <a:pt x="166" y="58"/>
                </a:lnTo>
                <a:lnTo>
                  <a:pt x="172" y="60"/>
                </a:lnTo>
                <a:lnTo>
                  <a:pt x="179" y="62"/>
                </a:lnTo>
                <a:lnTo>
                  <a:pt x="182" y="64"/>
                </a:lnTo>
                <a:lnTo>
                  <a:pt x="185" y="65"/>
                </a:lnTo>
                <a:lnTo>
                  <a:pt x="187" y="66"/>
                </a:lnTo>
                <a:lnTo>
                  <a:pt x="190" y="67"/>
                </a:lnTo>
                <a:lnTo>
                  <a:pt x="192" y="68"/>
                </a:lnTo>
                <a:lnTo>
                  <a:pt x="195" y="69"/>
                </a:lnTo>
                <a:lnTo>
                  <a:pt x="197" y="70"/>
                </a:lnTo>
                <a:lnTo>
                  <a:pt x="198" y="71"/>
                </a:lnTo>
                <a:lnTo>
                  <a:pt x="200" y="73"/>
                </a:lnTo>
                <a:lnTo>
                  <a:pt x="202" y="74"/>
                </a:lnTo>
                <a:lnTo>
                  <a:pt x="203" y="75"/>
                </a:lnTo>
                <a:lnTo>
                  <a:pt x="204" y="76"/>
                </a:lnTo>
                <a:lnTo>
                  <a:pt x="206" y="78"/>
                </a:lnTo>
                <a:lnTo>
                  <a:pt x="207" y="79"/>
                </a:lnTo>
                <a:lnTo>
                  <a:pt x="207" y="81"/>
                </a:lnTo>
                <a:lnTo>
                  <a:pt x="208" y="82"/>
                </a:lnTo>
                <a:lnTo>
                  <a:pt x="209" y="83"/>
                </a:lnTo>
                <a:lnTo>
                  <a:pt x="209" y="85"/>
                </a:lnTo>
                <a:lnTo>
                  <a:pt x="209" y="86"/>
                </a:lnTo>
                <a:lnTo>
                  <a:pt x="210" y="88"/>
                </a:lnTo>
                <a:lnTo>
                  <a:pt x="210" y="89"/>
                </a:lnTo>
                <a:lnTo>
                  <a:pt x="210" y="91"/>
                </a:lnTo>
                <a:lnTo>
                  <a:pt x="210" y="92"/>
                </a:lnTo>
                <a:lnTo>
                  <a:pt x="210" y="94"/>
                </a:lnTo>
                <a:lnTo>
                  <a:pt x="209" y="95"/>
                </a:lnTo>
                <a:lnTo>
                  <a:pt x="209" y="97"/>
                </a:lnTo>
                <a:lnTo>
                  <a:pt x="208" y="98"/>
                </a:lnTo>
                <a:lnTo>
                  <a:pt x="208" y="100"/>
                </a:lnTo>
                <a:lnTo>
                  <a:pt x="207" y="101"/>
                </a:lnTo>
                <a:lnTo>
                  <a:pt x="206" y="103"/>
                </a:lnTo>
                <a:lnTo>
                  <a:pt x="205" y="104"/>
                </a:lnTo>
                <a:lnTo>
                  <a:pt x="205" y="106"/>
                </a:lnTo>
                <a:lnTo>
                  <a:pt x="203" y="109"/>
                </a:lnTo>
                <a:lnTo>
                  <a:pt x="201" y="111"/>
                </a:lnTo>
                <a:lnTo>
                  <a:pt x="199" y="114"/>
                </a:lnTo>
                <a:lnTo>
                  <a:pt x="196" y="117"/>
                </a:lnTo>
                <a:lnTo>
                  <a:pt x="194" y="119"/>
                </a:lnTo>
                <a:lnTo>
                  <a:pt x="191" y="122"/>
                </a:lnTo>
                <a:lnTo>
                  <a:pt x="188" y="124"/>
                </a:lnTo>
                <a:lnTo>
                  <a:pt x="185" y="127"/>
                </a:lnTo>
                <a:lnTo>
                  <a:pt x="182" y="129"/>
                </a:lnTo>
                <a:lnTo>
                  <a:pt x="178" y="131"/>
                </a:lnTo>
                <a:lnTo>
                  <a:pt x="175" y="133"/>
                </a:lnTo>
                <a:lnTo>
                  <a:pt x="171" y="136"/>
                </a:lnTo>
                <a:lnTo>
                  <a:pt x="167" y="138"/>
                </a:lnTo>
                <a:lnTo>
                  <a:pt x="163" y="140"/>
                </a:lnTo>
                <a:lnTo>
                  <a:pt x="159" y="141"/>
                </a:lnTo>
                <a:lnTo>
                  <a:pt x="154" y="143"/>
                </a:lnTo>
                <a:lnTo>
                  <a:pt x="150" y="145"/>
                </a:lnTo>
                <a:lnTo>
                  <a:pt x="145" y="147"/>
                </a:lnTo>
                <a:lnTo>
                  <a:pt x="141" y="148"/>
                </a:lnTo>
                <a:lnTo>
                  <a:pt x="136" y="150"/>
                </a:lnTo>
                <a:lnTo>
                  <a:pt x="131" y="151"/>
                </a:lnTo>
                <a:lnTo>
                  <a:pt x="126" y="152"/>
                </a:lnTo>
                <a:lnTo>
                  <a:pt x="120" y="153"/>
                </a:lnTo>
                <a:lnTo>
                  <a:pt x="115" y="154"/>
                </a:lnTo>
                <a:lnTo>
                  <a:pt x="110" y="155"/>
                </a:lnTo>
                <a:lnTo>
                  <a:pt x="104" y="156"/>
                </a:lnTo>
                <a:lnTo>
                  <a:pt x="99" y="157"/>
                </a:lnTo>
                <a:lnTo>
                  <a:pt x="93" y="157"/>
                </a:lnTo>
                <a:lnTo>
                  <a:pt x="87" y="158"/>
                </a:lnTo>
                <a:lnTo>
                  <a:pt x="82" y="158"/>
                </a:lnTo>
                <a:lnTo>
                  <a:pt x="76" y="158"/>
                </a:lnTo>
                <a:lnTo>
                  <a:pt x="70" y="158"/>
                </a:lnTo>
                <a:close/>
              </a:path>
            </a:pathLst>
          </a:custGeom>
          <a:solidFill>
            <a:srgbClr val="00593C"/>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306919" name="Freeform 7">
            <a:extLst>
              <a:ext uri="{FF2B5EF4-FFF2-40B4-BE49-F238E27FC236}">
                <a16:creationId xmlns:a16="http://schemas.microsoft.com/office/drawing/2014/main" id="{89A82311-9049-4EB6-9ADB-49DC4B9C64BE}"/>
              </a:ext>
            </a:extLst>
          </xdr:cNvPr>
          <xdr:cNvSpPr>
            <a:spLocks noEditPoints="1"/>
          </xdr:cNvSpPr>
        </xdr:nvSpPr>
        <xdr:spPr bwMode="auto">
          <a:xfrm>
            <a:off x="939" y="1745"/>
            <a:ext cx="102" cy="98"/>
          </a:xfrm>
          <a:custGeom>
            <a:avLst/>
            <a:gdLst>
              <a:gd name="T0" fmla="*/ 2 w 126"/>
              <a:gd name="T1" fmla="*/ 0 h 100"/>
              <a:gd name="T2" fmla="*/ 0 w 126"/>
              <a:gd name="T3" fmla="*/ 25 h 100"/>
              <a:gd name="T4" fmla="*/ 2 w 126"/>
              <a:gd name="T5" fmla="*/ 25 h 100"/>
              <a:gd name="T6" fmla="*/ 2 w 126"/>
              <a:gd name="T7" fmla="*/ 25 h 100"/>
              <a:gd name="T8" fmla="*/ 2 w 126"/>
              <a:gd name="T9" fmla="*/ 25 h 100"/>
              <a:gd name="T10" fmla="*/ 2 w 126"/>
              <a:gd name="T11" fmla="*/ 25 h 100"/>
              <a:gd name="T12" fmla="*/ 2 w 126"/>
              <a:gd name="T13" fmla="*/ 25 h 100"/>
              <a:gd name="T14" fmla="*/ 2 w 126"/>
              <a:gd name="T15" fmla="*/ 0 h 100"/>
              <a:gd name="T16" fmla="*/ 2 w 126"/>
              <a:gd name="T17" fmla="*/ 0 h 100"/>
              <a:gd name="T18" fmla="*/ 2 w 126"/>
              <a:gd name="T19" fmla="*/ 25 h 100"/>
              <a:gd name="T20" fmla="*/ 2 w 126"/>
              <a:gd name="T21" fmla="*/ 25 h 100"/>
              <a:gd name="T22" fmla="*/ 2 w 126"/>
              <a:gd name="T23" fmla="*/ 25 h 100"/>
              <a:gd name="T24" fmla="*/ 2 w 126"/>
              <a:gd name="T25" fmla="*/ 25 h 100"/>
              <a:gd name="T26" fmla="*/ 0 60000 65536"/>
              <a:gd name="T27" fmla="*/ 0 60000 65536"/>
              <a:gd name="T28" fmla="*/ 0 60000 65536"/>
              <a:gd name="T29" fmla="*/ 0 60000 65536"/>
              <a:gd name="T30" fmla="*/ 0 60000 65536"/>
              <a:gd name="T31" fmla="*/ 0 60000 65536"/>
              <a:gd name="T32" fmla="*/ 0 60000 65536"/>
              <a:gd name="T33" fmla="*/ 0 60000 65536"/>
              <a:gd name="T34" fmla="*/ 0 60000 65536"/>
              <a:gd name="T35" fmla="*/ 0 60000 65536"/>
              <a:gd name="T36" fmla="*/ 0 60000 65536"/>
              <a:gd name="T37" fmla="*/ 0 60000 65536"/>
              <a:gd name="T38" fmla="*/ 0 60000 65536"/>
              <a:gd name="T39" fmla="*/ 0 w 126"/>
              <a:gd name="T40" fmla="*/ 0 h 100"/>
              <a:gd name="T41" fmla="*/ 126 w 126"/>
              <a:gd name="T42" fmla="*/ 100 h 100"/>
            </a:gdLst>
            <a:ahLst/>
            <a:cxnLst>
              <a:cxn ang="T26">
                <a:pos x="T0" y="T1"/>
              </a:cxn>
              <a:cxn ang="T27">
                <a:pos x="T2" y="T3"/>
              </a:cxn>
              <a:cxn ang="T28">
                <a:pos x="T4" y="T5"/>
              </a:cxn>
              <a:cxn ang="T29">
                <a:pos x="T6" y="T7"/>
              </a:cxn>
              <a:cxn ang="T30">
                <a:pos x="T8" y="T9"/>
              </a:cxn>
              <a:cxn ang="T31">
                <a:pos x="T10" y="T11"/>
              </a:cxn>
              <a:cxn ang="T32">
                <a:pos x="T12" y="T13"/>
              </a:cxn>
              <a:cxn ang="T33">
                <a:pos x="T14" y="T15"/>
              </a:cxn>
              <a:cxn ang="T34">
                <a:pos x="T16" y="T17"/>
              </a:cxn>
              <a:cxn ang="T35">
                <a:pos x="T18" y="T19"/>
              </a:cxn>
              <a:cxn ang="T36">
                <a:pos x="T20" y="T21"/>
              </a:cxn>
              <a:cxn ang="T37">
                <a:pos x="T22" y="T23"/>
              </a:cxn>
              <a:cxn ang="T38">
                <a:pos x="T24" y="T25"/>
              </a:cxn>
            </a:cxnLst>
            <a:rect l="T39" t="T40" r="T41" b="T42"/>
            <a:pathLst>
              <a:path w="126" h="100">
                <a:moveTo>
                  <a:pt x="106" y="0"/>
                </a:moveTo>
                <a:lnTo>
                  <a:pt x="0" y="100"/>
                </a:lnTo>
                <a:lnTo>
                  <a:pt x="27" y="100"/>
                </a:lnTo>
                <a:lnTo>
                  <a:pt x="49" y="79"/>
                </a:lnTo>
                <a:lnTo>
                  <a:pt x="85" y="79"/>
                </a:lnTo>
                <a:lnTo>
                  <a:pt x="82" y="100"/>
                </a:lnTo>
                <a:lnTo>
                  <a:pt x="117" y="100"/>
                </a:lnTo>
                <a:lnTo>
                  <a:pt x="126" y="0"/>
                </a:lnTo>
                <a:lnTo>
                  <a:pt x="106" y="0"/>
                </a:lnTo>
                <a:close/>
                <a:moveTo>
                  <a:pt x="91" y="37"/>
                </a:moveTo>
                <a:lnTo>
                  <a:pt x="87" y="65"/>
                </a:lnTo>
                <a:lnTo>
                  <a:pt x="63" y="65"/>
                </a:lnTo>
                <a:lnTo>
                  <a:pt x="91" y="37"/>
                </a:lnTo>
                <a:close/>
              </a:path>
            </a:pathLst>
          </a:custGeom>
          <a:solidFill>
            <a:srgbClr val="00593C"/>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306920" name="Freeform 8">
            <a:extLst>
              <a:ext uri="{FF2B5EF4-FFF2-40B4-BE49-F238E27FC236}">
                <a16:creationId xmlns:a16="http://schemas.microsoft.com/office/drawing/2014/main" id="{2C6A6DB0-593C-419B-81A2-F525147D41AD}"/>
              </a:ext>
            </a:extLst>
          </xdr:cNvPr>
          <xdr:cNvSpPr>
            <a:spLocks noEditPoints="1"/>
          </xdr:cNvSpPr>
        </xdr:nvSpPr>
        <xdr:spPr bwMode="auto">
          <a:xfrm>
            <a:off x="1032" y="1768"/>
            <a:ext cx="113" cy="104"/>
          </a:xfrm>
          <a:custGeom>
            <a:avLst/>
            <a:gdLst>
              <a:gd name="T0" fmla="*/ 2 w 138"/>
              <a:gd name="T1" fmla="*/ 1 h 106"/>
              <a:gd name="T2" fmla="*/ 2 w 138"/>
              <a:gd name="T3" fmla="*/ 1 h 106"/>
              <a:gd name="T4" fmla="*/ 2 w 138"/>
              <a:gd name="T5" fmla="*/ 6 h 106"/>
              <a:gd name="T6" fmla="*/ 2 w 138"/>
              <a:gd name="T7" fmla="*/ 12 h 106"/>
              <a:gd name="T8" fmla="*/ 2 w 138"/>
              <a:gd name="T9" fmla="*/ 21 h 106"/>
              <a:gd name="T10" fmla="*/ 2 w 138"/>
              <a:gd name="T11" fmla="*/ 26 h 106"/>
              <a:gd name="T12" fmla="*/ 2 w 138"/>
              <a:gd name="T13" fmla="*/ 26 h 106"/>
              <a:gd name="T14" fmla="*/ 2 w 138"/>
              <a:gd name="T15" fmla="*/ 26 h 106"/>
              <a:gd name="T16" fmla="*/ 2 w 138"/>
              <a:gd name="T17" fmla="*/ 26 h 106"/>
              <a:gd name="T18" fmla="*/ 2 w 138"/>
              <a:gd name="T19" fmla="*/ 26 h 106"/>
              <a:gd name="T20" fmla="*/ 2 w 138"/>
              <a:gd name="T21" fmla="*/ 26 h 106"/>
              <a:gd name="T22" fmla="*/ 2 w 138"/>
              <a:gd name="T23" fmla="*/ 26 h 106"/>
              <a:gd name="T24" fmla="*/ 2 w 138"/>
              <a:gd name="T25" fmla="*/ 26 h 106"/>
              <a:gd name="T26" fmla="*/ 2 w 138"/>
              <a:gd name="T27" fmla="*/ 26 h 106"/>
              <a:gd name="T28" fmla="*/ 2 w 138"/>
              <a:gd name="T29" fmla="*/ 26 h 106"/>
              <a:gd name="T30" fmla="*/ 0 w 138"/>
              <a:gd name="T31" fmla="*/ 26 h 106"/>
              <a:gd name="T32" fmla="*/ 1 w 138"/>
              <a:gd name="T33" fmla="*/ 26 h 106"/>
              <a:gd name="T34" fmla="*/ 2 w 138"/>
              <a:gd name="T35" fmla="*/ 26 h 106"/>
              <a:gd name="T36" fmla="*/ 2 w 138"/>
              <a:gd name="T37" fmla="*/ 26 h 106"/>
              <a:gd name="T38" fmla="*/ 2 w 138"/>
              <a:gd name="T39" fmla="*/ 26 h 106"/>
              <a:gd name="T40" fmla="*/ 2 w 138"/>
              <a:gd name="T41" fmla="*/ 26 h 106"/>
              <a:gd name="T42" fmla="*/ 2 w 138"/>
              <a:gd name="T43" fmla="*/ 26 h 106"/>
              <a:gd name="T44" fmla="*/ 2 w 138"/>
              <a:gd name="T45" fmla="*/ 26 h 106"/>
              <a:gd name="T46" fmla="*/ 2 w 138"/>
              <a:gd name="T47" fmla="*/ 26 h 106"/>
              <a:gd name="T48" fmla="*/ 2 w 138"/>
              <a:gd name="T49" fmla="*/ 26 h 106"/>
              <a:gd name="T50" fmla="*/ 2 w 138"/>
              <a:gd name="T51" fmla="*/ 26 h 106"/>
              <a:gd name="T52" fmla="*/ 2 w 138"/>
              <a:gd name="T53" fmla="*/ 26 h 106"/>
              <a:gd name="T54" fmla="*/ 2 w 138"/>
              <a:gd name="T55" fmla="*/ 26 h 106"/>
              <a:gd name="T56" fmla="*/ 2 w 138"/>
              <a:gd name="T57" fmla="*/ 26 h 106"/>
              <a:gd name="T58" fmla="*/ 2 w 138"/>
              <a:gd name="T59" fmla="*/ 26 h 106"/>
              <a:gd name="T60" fmla="*/ 2 w 138"/>
              <a:gd name="T61" fmla="*/ 26 h 106"/>
              <a:gd name="T62" fmla="*/ 2 w 138"/>
              <a:gd name="T63" fmla="*/ 26 h 106"/>
              <a:gd name="T64" fmla="*/ 2 w 138"/>
              <a:gd name="T65" fmla="*/ 26 h 106"/>
              <a:gd name="T66" fmla="*/ 2 w 138"/>
              <a:gd name="T67" fmla="*/ 26 h 106"/>
              <a:gd name="T68" fmla="*/ 2 w 138"/>
              <a:gd name="T69" fmla="*/ 26 h 106"/>
              <a:gd name="T70" fmla="*/ 2 w 138"/>
              <a:gd name="T71" fmla="*/ 21 h 106"/>
              <a:gd name="T72" fmla="*/ 2 w 138"/>
              <a:gd name="T73" fmla="*/ 15 h 106"/>
              <a:gd name="T74" fmla="*/ 2 w 138"/>
              <a:gd name="T75" fmla="*/ 26 h 106"/>
              <a:gd name="T76" fmla="*/ 2 w 138"/>
              <a:gd name="T77" fmla="*/ 15 h 106"/>
              <a:gd name="T78" fmla="*/ 2 w 138"/>
              <a:gd name="T79" fmla="*/ 12 h 106"/>
              <a:gd name="T80" fmla="*/ 2 w 138"/>
              <a:gd name="T81" fmla="*/ 14 h 106"/>
              <a:gd name="T82" fmla="*/ 2 w 138"/>
              <a:gd name="T83" fmla="*/ 17 h 106"/>
              <a:gd name="T84" fmla="*/ 2 w 138"/>
              <a:gd name="T85" fmla="*/ 26 h 106"/>
              <a:gd name="T86" fmla="*/ 2 w 138"/>
              <a:gd name="T87" fmla="*/ 26 h 106"/>
              <a:gd name="T88" fmla="*/ 2 w 138"/>
              <a:gd name="T89" fmla="*/ 26 h 106"/>
              <a:gd name="T90" fmla="*/ 2 w 138"/>
              <a:gd name="T91" fmla="*/ 26 h 106"/>
              <a:gd name="T92" fmla="*/ 2 w 138"/>
              <a:gd name="T93" fmla="*/ 26 h 106"/>
              <a:gd name="T94" fmla="*/ 2 w 138"/>
              <a:gd name="T95" fmla="*/ 26 h 106"/>
              <a:gd name="T96" fmla="*/ 2 w 138"/>
              <a:gd name="T97" fmla="*/ 26 h 106"/>
              <a:gd name="T98" fmla="*/ 2 w 138"/>
              <a:gd name="T99" fmla="*/ 26 h 106"/>
              <a:gd name="T100" fmla="*/ 2 w 138"/>
              <a:gd name="T101" fmla="*/ 26 h 106"/>
              <a:gd name="T102" fmla="*/ 2 w 138"/>
              <a:gd name="T103" fmla="*/ 26 h 106"/>
              <a:gd name="T104" fmla="*/ 2 w 138"/>
              <a:gd name="T105" fmla="*/ 26 h 106"/>
              <a:gd name="T106" fmla="*/ 2 w 138"/>
              <a:gd name="T107" fmla="*/ 26 h 106"/>
              <a:gd name="T108" fmla="*/ 2 w 138"/>
              <a:gd name="T109" fmla="*/ 26 h 106"/>
              <a:gd name="T110" fmla="*/ 2 w 138"/>
              <a:gd name="T111" fmla="*/ 26 h 10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w 138"/>
              <a:gd name="T169" fmla="*/ 0 h 106"/>
              <a:gd name="T170" fmla="*/ 138 w 138"/>
              <a:gd name="T171" fmla="*/ 106 h 106"/>
            </a:gdLst>
            <a:ahLst/>
            <a:cxnLst>
              <a:cxn ang="T112">
                <a:pos x="T0" y="T1"/>
              </a:cxn>
              <a:cxn ang="T113">
                <a:pos x="T2" y="T3"/>
              </a:cxn>
              <a:cxn ang="T114">
                <a:pos x="T4" y="T5"/>
              </a:cxn>
              <a:cxn ang="T115">
                <a:pos x="T6" y="T7"/>
              </a:cxn>
              <a:cxn ang="T116">
                <a:pos x="T8" y="T9"/>
              </a:cxn>
              <a:cxn ang="T117">
                <a:pos x="T10" y="T11"/>
              </a:cxn>
              <a:cxn ang="T118">
                <a:pos x="T12" y="T13"/>
              </a:cxn>
              <a:cxn ang="T119">
                <a:pos x="T14" y="T15"/>
              </a:cxn>
              <a:cxn ang="T120">
                <a:pos x="T16" y="T17"/>
              </a:cxn>
              <a:cxn ang="T121">
                <a:pos x="T18" y="T19"/>
              </a:cxn>
              <a:cxn ang="T122">
                <a:pos x="T20" y="T21"/>
              </a:cxn>
              <a:cxn ang="T123">
                <a:pos x="T22" y="T23"/>
              </a:cxn>
              <a:cxn ang="T124">
                <a:pos x="T24" y="T25"/>
              </a:cxn>
              <a:cxn ang="T125">
                <a:pos x="T26" y="T27"/>
              </a:cxn>
              <a:cxn ang="T126">
                <a:pos x="T28" y="T29"/>
              </a:cxn>
              <a:cxn ang="T127">
                <a:pos x="T30" y="T31"/>
              </a:cxn>
              <a:cxn ang="T128">
                <a:pos x="T32" y="T33"/>
              </a:cxn>
              <a:cxn ang="T129">
                <a:pos x="T34" y="T35"/>
              </a:cxn>
              <a:cxn ang="T130">
                <a:pos x="T36" y="T37"/>
              </a:cxn>
              <a:cxn ang="T131">
                <a:pos x="T38" y="T39"/>
              </a:cxn>
              <a:cxn ang="T132">
                <a:pos x="T40" y="T41"/>
              </a:cxn>
              <a:cxn ang="T133">
                <a:pos x="T42" y="T43"/>
              </a:cxn>
              <a:cxn ang="T134">
                <a:pos x="T44" y="T45"/>
              </a:cxn>
              <a:cxn ang="T135">
                <a:pos x="T46" y="T47"/>
              </a:cxn>
              <a:cxn ang="T136">
                <a:pos x="T48" y="T49"/>
              </a:cxn>
              <a:cxn ang="T137">
                <a:pos x="T50" y="T51"/>
              </a:cxn>
              <a:cxn ang="T138">
                <a:pos x="T52" y="T53"/>
              </a:cxn>
              <a:cxn ang="T139">
                <a:pos x="T54" y="T55"/>
              </a:cxn>
              <a:cxn ang="T140">
                <a:pos x="T56" y="T57"/>
              </a:cxn>
              <a:cxn ang="T141">
                <a:pos x="T58" y="T59"/>
              </a:cxn>
              <a:cxn ang="T142">
                <a:pos x="T60" y="T61"/>
              </a:cxn>
              <a:cxn ang="T143">
                <a:pos x="T62" y="T63"/>
              </a:cxn>
              <a:cxn ang="T144">
                <a:pos x="T64" y="T65"/>
              </a:cxn>
              <a:cxn ang="T145">
                <a:pos x="T66" y="T67"/>
              </a:cxn>
              <a:cxn ang="T146">
                <a:pos x="T68" y="T69"/>
              </a:cxn>
              <a:cxn ang="T147">
                <a:pos x="T70" y="T71"/>
              </a:cxn>
              <a:cxn ang="T148">
                <a:pos x="T72" y="T73"/>
              </a:cxn>
              <a:cxn ang="T149">
                <a:pos x="T74" y="T75"/>
              </a:cxn>
              <a:cxn ang="T150">
                <a:pos x="T76" y="T77"/>
              </a:cxn>
              <a:cxn ang="T151">
                <a:pos x="T78" y="T79"/>
              </a:cxn>
              <a:cxn ang="T152">
                <a:pos x="T80" y="T81"/>
              </a:cxn>
              <a:cxn ang="T153">
                <a:pos x="T82" y="T83"/>
              </a:cxn>
              <a:cxn ang="T154">
                <a:pos x="T84" y="T85"/>
              </a:cxn>
              <a:cxn ang="T155">
                <a:pos x="T86" y="T87"/>
              </a:cxn>
              <a:cxn ang="T156">
                <a:pos x="T88" y="T89"/>
              </a:cxn>
              <a:cxn ang="T157">
                <a:pos x="T90" y="T91"/>
              </a:cxn>
              <a:cxn ang="T158">
                <a:pos x="T92" y="T93"/>
              </a:cxn>
              <a:cxn ang="T159">
                <a:pos x="T94" y="T95"/>
              </a:cxn>
              <a:cxn ang="T160">
                <a:pos x="T96" y="T97"/>
              </a:cxn>
              <a:cxn ang="T161">
                <a:pos x="T98" y="T99"/>
              </a:cxn>
              <a:cxn ang="T162">
                <a:pos x="T100" y="T101"/>
              </a:cxn>
              <a:cxn ang="T163">
                <a:pos x="T102" y="T103"/>
              </a:cxn>
              <a:cxn ang="T164">
                <a:pos x="T104" y="T105"/>
              </a:cxn>
              <a:cxn ang="T165">
                <a:pos x="T106" y="T107"/>
              </a:cxn>
              <a:cxn ang="T166">
                <a:pos x="T108" y="T109"/>
              </a:cxn>
              <a:cxn ang="T167">
                <a:pos x="T110" y="T111"/>
              </a:cxn>
            </a:cxnLst>
            <a:rect l="T168" t="T169" r="T170" b="T171"/>
            <a:pathLst>
              <a:path w="138" h="106">
                <a:moveTo>
                  <a:pt x="138" y="2"/>
                </a:moveTo>
                <a:lnTo>
                  <a:pt x="104" y="2"/>
                </a:lnTo>
                <a:lnTo>
                  <a:pt x="103" y="2"/>
                </a:lnTo>
                <a:lnTo>
                  <a:pt x="102" y="1"/>
                </a:lnTo>
                <a:lnTo>
                  <a:pt x="101" y="1"/>
                </a:lnTo>
                <a:lnTo>
                  <a:pt x="99" y="1"/>
                </a:lnTo>
                <a:lnTo>
                  <a:pt x="97" y="1"/>
                </a:lnTo>
                <a:lnTo>
                  <a:pt x="95" y="1"/>
                </a:lnTo>
                <a:lnTo>
                  <a:pt x="93" y="0"/>
                </a:lnTo>
                <a:lnTo>
                  <a:pt x="91" y="0"/>
                </a:lnTo>
                <a:lnTo>
                  <a:pt x="88" y="0"/>
                </a:lnTo>
                <a:lnTo>
                  <a:pt x="85" y="1"/>
                </a:lnTo>
                <a:lnTo>
                  <a:pt x="83" y="1"/>
                </a:lnTo>
                <a:lnTo>
                  <a:pt x="80" y="1"/>
                </a:lnTo>
                <a:lnTo>
                  <a:pt x="78" y="2"/>
                </a:lnTo>
                <a:lnTo>
                  <a:pt x="75" y="2"/>
                </a:lnTo>
                <a:lnTo>
                  <a:pt x="73" y="3"/>
                </a:lnTo>
                <a:lnTo>
                  <a:pt x="70" y="3"/>
                </a:lnTo>
                <a:lnTo>
                  <a:pt x="68" y="4"/>
                </a:lnTo>
                <a:lnTo>
                  <a:pt x="66" y="5"/>
                </a:lnTo>
                <a:lnTo>
                  <a:pt x="64" y="6"/>
                </a:lnTo>
                <a:lnTo>
                  <a:pt x="62" y="6"/>
                </a:lnTo>
                <a:lnTo>
                  <a:pt x="60" y="7"/>
                </a:lnTo>
                <a:lnTo>
                  <a:pt x="58" y="8"/>
                </a:lnTo>
                <a:lnTo>
                  <a:pt x="57" y="9"/>
                </a:lnTo>
                <a:lnTo>
                  <a:pt x="55" y="10"/>
                </a:lnTo>
                <a:lnTo>
                  <a:pt x="54" y="11"/>
                </a:lnTo>
                <a:lnTo>
                  <a:pt x="52" y="12"/>
                </a:lnTo>
                <a:lnTo>
                  <a:pt x="51" y="14"/>
                </a:lnTo>
                <a:lnTo>
                  <a:pt x="49" y="15"/>
                </a:lnTo>
                <a:lnTo>
                  <a:pt x="48" y="16"/>
                </a:lnTo>
                <a:lnTo>
                  <a:pt x="47" y="17"/>
                </a:lnTo>
                <a:lnTo>
                  <a:pt x="46" y="18"/>
                </a:lnTo>
                <a:lnTo>
                  <a:pt x="45" y="20"/>
                </a:lnTo>
                <a:lnTo>
                  <a:pt x="44" y="21"/>
                </a:lnTo>
                <a:lnTo>
                  <a:pt x="43" y="22"/>
                </a:lnTo>
                <a:lnTo>
                  <a:pt x="42" y="23"/>
                </a:lnTo>
                <a:lnTo>
                  <a:pt x="41" y="24"/>
                </a:lnTo>
                <a:lnTo>
                  <a:pt x="41" y="26"/>
                </a:lnTo>
                <a:lnTo>
                  <a:pt x="40" y="27"/>
                </a:lnTo>
                <a:lnTo>
                  <a:pt x="40" y="28"/>
                </a:lnTo>
                <a:lnTo>
                  <a:pt x="39" y="29"/>
                </a:lnTo>
                <a:lnTo>
                  <a:pt x="39" y="30"/>
                </a:lnTo>
                <a:lnTo>
                  <a:pt x="39" y="31"/>
                </a:lnTo>
                <a:lnTo>
                  <a:pt x="38" y="32"/>
                </a:lnTo>
                <a:lnTo>
                  <a:pt x="38" y="34"/>
                </a:lnTo>
                <a:lnTo>
                  <a:pt x="38" y="35"/>
                </a:lnTo>
                <a:lnTo>
                  <a:pt x="38" y="36"/>
                </a:lnTo>
                <a:lnTo>
                  <a:pt x="38" y="37"/>
                </a:lnTo>
                <a:lnTo>
                  <a:pt x="39" y="38"/>
                </a:lnTo>
                <a:lnTo>
                  <a:pt x="39" y="39"/>
                </a:lnTo>
                <a:lnTo>
                  <a:pt x="39" y="40"/>
                </a:lnTo>
                <a:lnTo>
                  <a:pt x="40" y="41"/>
                </a:lnTo>
                <a:lnTo>
                  <a:pt x="41" y="42"/>
                </a:lnTo>
                <a:lnTo>
                  <a:pt x="42" y="43"/>
                </a:lnTo>
                <a:lnTo>
                  <a:pt x="43" y="44"/>
                </a:lnTo>
                <a:lnTo>
                  <a:pt x="44" y="45"/>
                </a:lnTo>
                <a:lnTo>
                  <a:pt x="45" y="46"/>
                </a:lnTo>
                <a:lnTo>
                  <a:pt x="46" y="46"/>
                </a:lnTo>
                <a:lnTo>
                  <a:pt x="48" y="47"/>
                </a:lnTo>
                <a:lnTo>
                  <a:pt x="50" y="48"/>
                </a:lnTo>
                <a:lnTo>
                  <a:pt x="46" y="50"/>
                </a:lnTo>
                <a:lnTo>
                  <a:pt x="43" y="52"/>
                </a:lnTo>
                <a:lnTo>
                  <a:pt x="41" y="53"/>
                </a:lnTo>
                <a:lnTo>
                  <a:pt x="40" y="54"/>
                </a:lnTo>
                <a:lnTo>
                  <a:pt x="38" y="54"/>
                </a:lnTo>
                <a:lnTo>
                  <a:pt x="37" y="55"/>
                </a:lnTo>
                <a:lnTo>
                  <a:pt x="35" y="56"/>
                </a:lnTo>
                <a:lnTo>
                  <a:pt x="34" y="57"/>
                </a:lnTo>
                <a:lnTo>
                  <a:pt x="33" y="58"/>
                </a:lnTo>
                <a:lnTo>
                  <a:pt x="32" y="59"/>
                </a:lnTo>
                <a:lnTo>
                  <a:pt x="31" y="60"/>
                </a:lnTo>
                <a:lnTo>
                  <a:pt x="30" y="61"/>
                </a:lnTo>
                <a:lnTo>
                  <a:pt x="29" y="62"/>
                </a:lnTo>
                <a:lnTo>
                  <a:pt x="29" y="63"/>
                </a:lnTo>
                <a:lnTo>
                  <a:pt x="29" y="64"/>
                </a:lnTo>
                <a:lnTo>
                  <a:pt x="29" y="65"/>
                </a:lnTo>
                <a:lnTo>
                  <a:pt x="29" y="66"/>
                </a:lnTo>
                <a:lnTo>
                  <a:pt x="29" y="67"/>
                </a:lnTo>
                <a:lnTo>
                  <a:pt x="29" y="68"/>
                </a:lnTo>
                <a:lnTo>
                  <a:pt x="30" y="69"/>
                </a:lnTo>
                <a:lnTo>
                  <a:pt x="31" y="70"/>
                </a:lnTo>
                <a:lnTo>
                  <a:pt x="32" y="71"/>
                </a:lnTo>
                <a:lnTo>
                  <a:pt x="33" y="71"/>
                </a:lnTo>
                <a:lnTo>
                  <a:pt x="34" y="72"/>
                </a:lnTo>
                <a:lnTo>
                  <a:pt x="36" y="73"/>
                </a:lnTo>
                <a:lnTo>
                  <a:pt x="39" y="74"/>
                </a:lnTo>
                <a:lnTo>
                  <a:pt x="34" y="75"/>
                </a:lnTo>
                <a:lnTo>
                  <a:pt x="29" y="76"/>
                </a:lnTo>
                <a:lnTo>
                  <a:pt x="26" y="77"/>
                </a:lnTo>
                <a:lnTo>
                  <a:pt x="23" y="78"/>
                </a:lnTo>
                <a:lnTo>
                  <a:pt x="20" y="79"/>
                </a:lnTo>
                <a:lnTo>
                  <a:pt x="17" y="80"/>
                </a:lnTo>
                <a:lnTo>
                  <a:pt x="14" y="81"/>
                </a:lnTo>
                <a:lnTo>
                  <a:pt x="11" y="82"/>
                </a:lnTo>
                <a:lnTo>
                  <a:pt x="10" y="82"/>
                </a:lnTo>
                <a:lnTo>
                  <a:pt x="8" y="83"/>
                </a:lnTo>
                <a:lnTo>
                  <a:pt x="7" y="84"/>
                </a:lnTo>
                <a:lnTo>
                  <a:pt x="6" y="84"/>
                </a:lnTo>
                <a:lnTo>
                  <a:pt x="5" y="85"/>
                </a:lnTo>
                <a:lnTo>
                  <a:pt x="4" y="86"/>
                </a:lnTo>
                <a:lnTo>
                  <a:pt x="3" y="86"/>
                </a:lnTo>
                <a:lnTo>
                  <a:pt x="2" y="87"/>
                </a:lnTo>
                <a:lnTo>
                  <a:pt x="2" y="88"/>
                </a:lnTo>
                <a:lnTo>
                  <a:pt x="1" y="89"/>
                </a:lnTo>
                <a:lnTo>
                  <a:pt x="1" y="90"/>
                </a:lnTo>
                <a:lnTo>
                  <a:pt x="0" y="91"/>
                </a:lnTo>
                <a:lnTo>
                  <a:pt x="0" y="92"/>
                </a:lnTo>
                <a:lnTo>
                  <a:pt x="0" y="93"/>
                </a:lnTo>
                <a:lnTo>
                  <a:pt x="0" y="94"/>
                </a:lnTo>
                <a:lnTo>
                  <a:pt x="0" y="95"/>
                </a:lnTo>
                <a:lnTo>
                  <a:pt x="1" y="96"/>
                </a:lnTo>
                <a:lnTo>
                  <a:pt x="2" y="97"/>
                </a:lnTo>
                <a:lnTo>
                  <a:pt x="3" y="98"/>
                </a:lnTo>
                <a:lnTo>
                  <a:pt x="4" y="99"/>
                </a:lnTo>
                <a:lnTo>
                  <a:pt x="6" y="100"/>
                </a:lnTo>
                <a:lnTo>
                  <a:pt x="7" y="100"/>
                </a:lnTo>
                <a:lnTo>
                  <a:pt x="8" y="101"/>
                </a:lnTo>
                <a:lnTo>
                  <a:pt x="9" y="102"/>
                </a:lnTo>
                <a:lnTo>
                  <a:pt x="11" y="102"/>
                </a:lnTo>
                <a:lnTo>
                  <a:pt x="12" y="103"/>
                </a:lnTo>
                <a:lnTo>
                  <a:pt x="14" y="103"/>
                </a:lnTo>
                <a:lnTo>
                  <a:pt x="15" y="103"/>
                </a:lnTo>
                <a:lnTo>
                  <a:pt x="17" y="104"/>
                </a:lnTo>
                <a:lnTo>
                  <a:pt x="20" y="104"/>
                </a:lnTo>
                <a:lnTo>
                  <a:pt x="24" y="105"/>
                </a:lnTo>
                <a:lnTo>
                  <a:pt x="27" y="105"/>
                </a:lnTo>
                <a:lnTo>
                  <a:pt x="31" y="106"/>
                </a:lnTo>
                <a:lnTo>
                  <a:pt x="35" y="106"/>
                </a:lnTo>
                <a:lnTo>
                  <a:pt x="39" y="106"/>
                </a:lnTo>
                <a:lnTo>
                  <a:pt x="44" y="106"/>
                </a:lnTo>
                <a:lnTo>
                  <a:pt x="48" y="106"/>
                </a:lnTo>
                <a:lnTo>
                  <a:pt x="51" y="106"/>
                </a:lnTo>
                <a:lnTo>
                  <a:pt x="53" y="105"/>
                </a:lnTo>
                <a:lnTo>
                  <a:pt x="55" y="105"/>
                </a:lnTo>
                <a:lnTo>
                  <a:pt x="58" y="105"/>
                </a:lnTo>
                <a:lnTo>
                  <a:pt x="60" y="104"/>
                </a:lnTo>
                <a:lnTo>
                  <a:pt x="62" y="104"/>
                </a:lnTo>
                <a:lnTo>
                  <a:pt x="65" y="104"/>
                </a:lnTo>
                <a:lnTo>
                  <a:pt x="67" y="103"/>
                </a:lnTo>
                <a:lnTo>
                  <a:pt x="69" y="103"/>
                </a:lnTo>
                <a:lnTo>
                  <a:pt x="71" y="102"/>
                </a:lnTo>
                <a:lnTo>
                  <a:pt x="73" y="101"/>
                </a:lnTo>
                <a:lnTo>
                  <a:pt x="76" y="101"/>
                </a:lnTo>
                <a:lnTo>
                  <a:pt x="78" y="100"/>
                </a:lnTo>
                <a:lnTo>
                  <a:pt x="80" y="99"/>
                </a:lnTo>
                <a:lnTo>
                  <a:pt x="81" y="98"/>
                </a:lnTo>
                <a:lnTo>
                  <a:pt x="83" y="98"/>
                </a:lnTo>
                <a:lnTo>
                  <a:pt x="85" y="97"/>
                </a:lnTo>
                <a:lnTo>
                  <a:pt x="87" y="96"/>
                </a:lnTo>
                <a:lnTo>
                  <a:pt x="88" y="95"/>
                </a:lnTo>
                <a:lnTo>
                  <a:pt x="90" y="94"/>
                </a:lnTo>
                <a:lnTo>
                  <a:pt x="91" y="93"/>
                </a:lnTo>
                <a:lnTo>
                  <a:pt x="93" y="91"/>
                </a:lnTo>
                <a:lnTo>
                  <a:pt x="94" y="90"/>
                </a:lnTo>
                <a:lnTo>
                  <a:pt x="95" y="89"/>
                </a:lnTo>
                <a:lnTo>
                  <a:pt x="96" y="88"/>
                </a:lnTo>
                <a:lnTo>
                  <a:pt x="97" y="86"/>
                </a:lnTo>
                <a:lnTo>
                  <a:pt x="97" y="85"/>
                </a:lnTo>
                <a:lnTo>
                  <a:pt x="98" y="83"/>
                </a:lnTo>
                <a:lnTo>
                  <a:pt x="98" y="82"/>
                </a:lnTo>
                <a:lnTo>
                  <a:pt x="99" y="81"/>
                </a:lnTo>
                <a:lnTo>
                  <a:pt x="99" y="80"/>
                </a:lnTo>
                <a:lnTo>
                  <a:pt x="99" y="79"/>
                </a:lnTo>
                <a:lnTo>
                  <a:pt x="99" y="78"/>
                </a:lnTo>
                <a:lnTo>
                  <a:pt x="98" y="77"/>
                </a:lnTo>
                <a:lnTo>
                  <a:pt x="98" y="76"/>
                </a:lnTo>
                <a:lnTo>
                  <a:pt x="97" y="75"/>
                </a:lnTo>
                <a:lnTo>
                  <a:pt x="97" y="74"/>
                </a:lnTo>
                <a:lnTo>
                  <a:pt x="96" y="73"/>
                </a:lnTo>
                <a:lnTo>
                  <a:pt x="95" y="73"/>
                </a:lnTo>
                <a:lnTo>
                  <a:pt x="94" y="72"/>
                </a:lnTo>
                <a:lnTo>
                  <a:pt x="94" y="71"/>
                </a:lnTo>
                <a:lnTo>
                  <a:pt x="93" y="70"/>
                </a:lnTo>
                <a:lnTo>
                  <a:pt x="92" y="70"/>
                </a:lnTo>
                <a:lnTo>
                  <a:pt x="90" y="69"/>
                </a:lnTo>
                <a:lnTo>
                  <a:pt x="89" y="68"/>
                </a:lnTo>
                <a:lnTo>
                  <a:pt x="88" y="68"/>
                </a:lnTo>
                <a:lnTo>
                  <a:pt x="86" y="67"/>
                </a:lnTo>
                <a:lnTo>
                  <a:pt x="83" y="66"/>
                </a:lnTo>
                <a:lnTo>
                  <a:pt x="80" y="65"/>
                </a:lnTo>
                <a:lnTo>
                  <a:pt x="77" y="63"/>
                </a:lnTo>
                <a:lnTo>
                  <a:pt x="73" y="62"/>
                </a:lnTo>
                <a:lnTo>
                  <a:pt x="69" y="61"/>
                </a:lnTo>
                <a:lnTo>
                  <a:pt x="65" y="60"/>
                </a:lnTo>
                <a:lnTo>
                  <a:pt x="62" y="59"/>
                </a:lnTo>
                <a:lnTo>
                  <a:pt x="59" y="58"/>
                </a:lnTo>
                <a:lnTo>
                  <a:pt x="58" y="57"/>
                </a:lnTo>
                <a:lnTo>
                  <a:pt x="57" y="57"/>
                </a:lnTo>
                <a:lnTo>
                  <a:pt x="56" y="56"/>
                </a:lnTo>
                <a:lnTo>
                  <a:pt x="55" y="56"/>
                </a:lnTo>
                <a:lnTo>
                  <a:pt x="55" y="55"/>
                </a:lnTo>
                <a:lnTo>
                  <a:pt x="56" y="55"/>
                </a:lnTo>
                <a:lnTo>
                  <a:pt x="56" y="54"/>
                </a:lnTo>
                <a:lnTo>
                  <a:pt x="57" y="53"/>
                </a:lnTo>
                <a:lnTo>
                  <a:pt x="58" y="52"/>
                </a:lnTo>
                <a:lnTo>
                  <a:pt x="60" y="51"/>
                </a:lnTo>
                <a:lnTo>
                  <a:pt x="61" y="50"/>
                </a:lnTo>
                <a:lnTo>
                  <a:pt x="63" y="51"/>
                </a:lnTo>
                <a:lnTo>
                  <a:pt x="64" y="51"/>
                </a:lnTo>
                <a:lnTo>
                  <a:pt x="66" y="51"/>
                </a:lnTo>
                <a:lnTo>
                  <a:pt x="69" y="51"/>
                </a:lnTo>
                <a:lnTo>
                  <a:pt x="71" y="51"/>
                </a:lnTo>
                <a:lnTo>
                  <a:pt x="73" y="51"/>
                </a:lnTo>
                <a:lnTo>
                  <a:pt x="75" y="51"/>
                </a:lnTo>
                <a:lnTo>
                  <a:pt x="77" y="50"/>
                </a:lnTo>
                <a:lnTo>
                  <a:pt x="79" y="50"/>
                </a:lnTo>
                <a:lnTo>
                  <a:pt x="81" y="50"/>
                </a:lnTo>
                <a:lnTo>
                  <a:pt x="83" y="49"/>
                </a:lnTo>
                <a:lnTo>
                  <a:pt x="85" y="49"/>
                </a:lnTo>
                <a:lnTo>
                  <a:pt x="87" y="48"/>
                </a:lnTo>
                <a:lnTo>
                  <a:pt x="89" y="48"/>
                </a:lnTo>
                <a:lnTo>
                  <a:pt x="91" y="47"/>
                </a:lnTo>
                <a:lnTo>
                  <a:pt x="93" y="46"/>
                </a:lnTo>
                <a:lnTo>
                  <a:pt x="95" y="45"/>
                </a:lnTo>
                <a:lnTo>
                  <a:pt x="97" y="45"/>
                </a:lnTo>
                <a:lnTo>
                  <a:pt x="98" y="44"/>
                </a:lnTo>
                <a:lnTo>
                  <a:pt x="100" y="43"/>
                </a:lnTo>
                <a:lnTo>
                  <a:pt x="102" y="42"/>
                </a:lnTo>
                <a:lnTo>
                  <a:pt x="103" y="41"/>
                </a:lnTo>
                <a:lnTo>
                  <a:pt x="105" y="40"/>
                </a:lnTo>
                <a:lnTo>
                  <a:pt x="106" y="39"/>
                </a:lnTo>
                <a:lnTo>
                  <a:pt x="108" y="38"/>
                </a:lnTo>
                <a:lnTo>
                  <a:pt x="109" y="36"/>
                </a:lnTo>
                <a:lnTo>
                  <a:pt x="110" y="35"/>
                </a:lnTo>
                <a:lnTo>
                  <a:pt x="111" y="34"/>
                </a:lnTo>
                <a:lnTo>
                  <a:pt x="113" y="33"/>
                </a:lnTo>
                <a:lnTo>
                  <a:pt x="113" y="32"/>
                </a:lnTo>
                <a:lnTo>
                  <a:pt x="114" y="30"/>
                </a:lnTo>
                <a:lnTo>
                  <a:pt x="115" y="29"/>
                </a:lnTo>
                <a:lnTo>
                  <a:pt x="116" y="28"/>
                </a:lnTo>
                <a:lnTo>
                  <a:pt x="117" y="26"/>
                </a:lnTo>
                <a:lnTo>
                  <a:pt x="117" y="25"/>
                </a:lnTo>
                <a:lnTo>
                  <a:pt x="118" y="24"/>
                </a:lnTo>
                <a:lnTo>
                  <a:pt x="118" y="22"/>
                </a:lnTo>
                <a:lnTo>
                  <a:pt x="119" y="21"/>
                </a:lnTo>
                <a:lnTo>
                  <a:pt x="119" y="19"/>
                </a:lnTo>
                <a:lnTo>
                  <a:pt x="119" y="18"/>
                </a:lnTo>
                <a:lnTo>
                  <a:pt x="118" y="17"/>
                </a:lnTo>
                <a:lnTo>
                  <a:pt x="118" y="16"/>
                </a:lnTo>
                <a:lnTo>
                  <a:pt x="117" y="15"/>
                </a:lnTo>
                <a:lnTo>
                  <a:pt x="130" y="15"/>
                </a:lnTo>
                <a:lnTo>
                  <a:pt x="138" y="2"/>
                </a:lnTo>
                <a:close/>
                <a:moveTo>
                  <a:pt x="68" y="33"/>
                </a:moveTo>
                <a:lnTo>
                  <a:pt x="68" y="32"/>
                </a:lnTo>
                <a:lnTo>
                  <a:pt x="69" y="31"/>
                </a:lnTo>
                <a:lnTo>
                  <a:pt x="70" y="29"/>
                </a:lnTo>
                <a:lnTo>
                  <a:pt x="70" y="27"/>
                </a:lnTo>
                <a:lnTo>
                  <a:pt x="72" y="26"/>
                </a:lnTo>
                <a:lnTo>
                  <a:pt x="73" y="24"/>
                </a:lnTo>
                <a:lnTo>
                  <a:pt x="74" y="22"/>
                </a:lnTo>
                <a:lnTo>
                  <a:pt x="75" y="20"/>
                </a:lnTo>
                <a:lnTo>
                  <a:pt x="77" y="19"/>
                </a:lnTo>
                <a:lnTo>
                  <a:pt x="78" y="17"/>
                </a:lnTo>
                <a:lnTo>
                  <a:pt x="80" y="16"/>
                </a:lnTo>
                <a:lnTo>
                  <a:pt x="81" y="15"/>
                </a:lnTo>
                <a:lnTo>
                  <a:pt x="82" y="14"/>
                </a:lnTo>
                <a:lnTo>
                  <a:pt x="83" y="14"/>
                </a:lnTo>
                <a:lnTo>
                  <a:pt x="83" y="13"/>
                </a:lnTo>
                <a:lnTo>
                  <a:pt x="84" y="13"/>
                </a:lnTo>
                <a:lnTo>
                  <a:pt x="85" y="13"/>
                </a:lnTo>
                <a:lnTo>
                  <a:pt x="86" y="13"/>
                </a:lnTo>
                <a:lnTo>
                  <a:pt x="87" y="12"/>
                </a:lnTo>
                <a:lnTo>
                  <a:pt x="88" y="12"/>
                </a:lnTo>
                <a:lnTo>
                  <a:pt x="89" y="13"/>
                </a:lnTo>
                <a:lnTo>
                  <a:pt x="90" y="13"/>
                </a:lnTo>
                <a:lnTo>
                  <a:pt x="91" y="14"/>
                </a:lnTo>
                <a:lnTo>
                  <a:pt x="91" y="15"/>
                </a:lnTo>
                <a:lnTo>
                  <a:pt x="91" y="16"/>
                </a:lnTo>
                <a:lnTo>
                  <a:pt x="91" y="17"/>
                </a:lnTo>
                <a:lnTo>
                  <a:pt x="91" y="18"/>
                </a:lnTo>
                <a:lnTo>
                  <a:pt x="90" y="19"/>
                </a:lnTo>
                <a:lnTo>
                  <a:pt x="90" y="21"/>
                </a:lnTo>
                <a:lnTo>
                  <a:pt x="89" y="22"/>
                </a:lnTo>
                <a:lnTo>
                  <a:pt x="88" y="24"/>
                </a:lnTo>
                <a:lnTo>
                  <a:pt x="87" y="26"/>
                </a:lnTo>
                <a:lnTo>
                  <a:pt x="86" y="27"/>
                </a:lnTo>
                <a:lnTo>
                  <a:pt x="85" y="29"/>
                </a:lnTo>
                <a:lnTo>
                  <a:pt x="83" y="31"/>
                </a:lnTo>
                <a:lnTo>
                  <a:pt x="82" y="33"/>
                </a:lnTo>
                <a:lnTo>
                  <a:pt x="81" y="34"/>
                </a:lnTo>
                <a:lnTo>
                  <a:pt x="80" y="35"/>
                </a:lnTo>
                <a:lnTo>
                  <a:pt x="79" y="36"/>
                </a:lnTo>
                <a:lnTo>
                  <a:pt x="78" y="36"/>
                </a:lnTo>
                <a:lnTo>
                  <a:pt x="78" y="37"/>
                </a:lnTo>
                <a:lnTo>
                  <a:pt x="77" y="37"/>
                </a:lnTo>
                <a:lnTo>
                  <a:pt x="76" y="38"/>
                </a:lnTo>
                <a:lnTo>
                  <a:pt x="75" y="38"/>
                </a:lnTo>
                <a:lnTo>
                  <a:pt x="75" y="39"/>
                </a:lnTo>
                <a:lnTo>
                  <a:pt x="74" y="39"/>
                </a:lnTo>
                <a:lnTo>
                  <a:pt x="73" y="39"/>
                </a:lnTo>
                <a:lnTo>
                  <a:pt x="72" y="39"/>
                </a:lnTo>
                <a:lnTo>
                  <a:pt x="71" y="39"/>
                </a:lnTo>
                <a:lnTo>
                  <a:pt x="70" y="39"/>
                </a:lnTo>
                <a:lnTo>
                  <a:pt x="69" y="39"/>
                </a:lnTo>
                <a:lnTo>
                  <a:pt x="68" y="39"/>
                </a:lnTo>
                <a:lnTo>
                  <a:pt x="68" y="38"/>
                </a:lnTo>
                <a:lnTo>
                  <a:pt x="67" y="37"/>
                </a:lnTo>
                <a:lnTo>
                  <a:pt x="67" y="36"/>
                </a:lnTo>
                <a:lnTo>
                  <a:pt x="67" y="35"/>
                </a:lnTo>
                <a:lnTo>
                  <a:pt x="67" y="34"/>
                </a:lnTo>
                <a:lnTo>
                  <a:pt x="68" y="34"/>
                </a:lnTo>
                <a:lnTo>
                  <a:pt x="68" y="33"/>
                </a:lnTo>
                <a:close/>
                <a:moveTo>
                  <a:pt x="46" y="94"/>
                </a:moveTo>
                <a:lnTo>
                  <a:pt x="44" y="94"/>
                </a:lnTo>
                <a:lnTo>
                  <a:pt x="41" y="93"/>
                </a:lnTo>
                <a:lnTo>
                  <a:pt x="40" y="93"/>
                </a:lnTo>
                <a:lnTo>
                  <a:pt x="39" y="93"/>
                </a:lnTo>
                <a:lnTo>
                  <a:pt x="38" y="93"/>
                </a:lnTo>
                <a:lnTo>
                  <a:pt x="37" y="93"/>
                </a:lnTo>
                <a:lnTo>
                  <a:pt x="36" y="92"/>
                </a:lnTo>
                <a:lnTo>
                  <a:pt x="35" y="92"/>
                </a:lnTo>
                <a:lnTo>
                  <a:pt x="34" y="91"/>
                </a:lnTo>
                <a:lnTo>
                  <a:pt x="33" y="91"/>
                </a:lnTo>
                <a:lnTo>
                  <a:pt x="33" y="90"/>
                </a:lnTo>
                <a:lnTo>
                  <a:pt x="32" y="90"/>
                </a:lnTo>
                <a:lnTo>
                  <a:pt x="32" y="89"/>
                </a:lnTo>
                <a:lnTo>
                  <a:pt x="32" y="88"/>
                </a:lnTo>
                <a:lnTo>
                  <a:pt x="33" y="87"/>
                </a:lnTo>
                <a:lnTo>
                  <a:pt x="34" y="86"/>
                </a:lnTo>
                <a:lnTo>
                  <a:pt x="34" y="85"/>
                </a:lnTo>
                <a:lnTo>
                  <a:pt x="35" y="85"/>
                </a:lnTo>
                <a:lnTo>
                  <a:pt x="36" y="84"/>
                </a:lnTo>
                <a:lnTo>
                  <a:pt x="37" y="83"/>
                </a:lnTo>
                <a:lnTo>
                  <a:pt x="38" y="83"/>
                </a:lnTo>
                <a:lnTo>
                  <a:pt x="41" y="82"/>
                </a:lnTo>
                <a:lnTo>
                  <a:pt x="43" y="81"/>
                </a:lnTo>
                <a:lnTo>
                  <a:pt x="46" y="79"/>
                </a:lnTo>
                <a:lnTo>
                  <a:pt x="48" y="79"/>
                </a:lnTo>
                <a:lnTo>
                  <a:pt x="53" y="80"/>
                </a:lnTo>
                <a:lnTo>
                  <a:pt x="56" y="81"/>
                </a:lnTo>
                <a:lnTo>
                  <a:pt x="59" y="82"/>
                </a:lnTo>
                <a:lnTo>
                  <a:pt x="61" y="83"/>
                </a:lnTo>
                <a:lnTo>
                  <a:pt x="62" y="84"/>
                </a:lnTo>
                <a:lnTo>
                  <a:pt x="64" y="85"/>
                </a:lnTo>
                <a:lnTo>
                  <a:pt x="65" y="85"/>
                </a:lnTo>
                <a:lnTo>
                  <a:pt x="65" y="86"/>
                </a:lnTo>
                <a:lnTo>
                  <a:pt x="65" y="87"/>
                </a:lnTo>
                <a:lnTo>
                  <a:pt x="65" y="88"/>
                </a:lnTo>
                <a:lnTo>
                  <a:pt x="65" y="89"/>
                </a:lnTo>
                <a:lnTo>
                  <a:pt x="64" y="89"/>
                </a:lnTo>
                <a:lnTo>
                  <a:pt x="63" y="90"/>
                </a:lnTo>
                <a:lnTo>
                  <a:pt x="62" y="91"/>
                </a:lnTo>
                <a:lnTo>
                  <a:pt x="61" y="91"/>
                </a:lnTo>
                <a:lnTo>
                  <a:pt x="60" y="92"/>
                </a:lnTo>
                <a:lnTo>
                  <a:pt x="59" y="92"/>
                </a:lnTo>
                <a:lnTo>
                  <a:pt x="57" y="93"/>
                </a:lnTo>
                <a:lnTo>
                  <a:pt x="56" y="93"/>
                </a:lnTo>
                <a:lnTo>
                  <a:pt x="54" y="93"/>
                </a:lnTo>
                <a:lnTo>
                  <a:pt x="53" y="93"/>
                </a:lnTo>
                <a:lnTo>
                  <a:pt x="51" y="93"/>
                </a:lnTo>
                <a:lnTo>
                  <a:pt x="49" y="94"/>
                </a:lnTo>
                <a:lnTo>
                  <a:pt x="46" y="94"/>
                </a:lnTo>
                <a:close/>
              </a:path>
            </a:pathLst>
          </a:custGeom>
          <a:solidFill>
            <a:srgbClr val="00593C"/>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306921" name="Freeform 9">
            <a:extLst>
              <a:ext uri="{FF2B5EF4-FFF2-40B4-BE49-F238E27FC236}">
                <a16:creationId xmlns:a16="http://schemas.microsoft.com/office/drawing/2014/main" id="{77EE4F03-AA19-432A-AE1D-641A75766460}"/>
              </a:ext>
            </a:extLst>
          </xdr:cNvPr>
          <xdr:cNvSpPr>
            <a:spLocks/>
          </xdr:cNvSpPr>
        </xdr:nvSpPr>
        <xdr:spPr bwMode="auto">
          <a:xfrm>
            <a:off x="1124" y="1768"/>
            <a:ext cx="87" cy="75"/>
          </a:xfrm>
          <a:custGeom>
            <a:avLst/>
            <a:gdLst>
              <a:gd name="T0" fmla="*/ 0 w 107"/>
              <a:gd name="T1" fmla="*/ 19 h 77"/>
              <a:gd name="T2" fmla="*/ 2 w 107"/>
              <a:gd name="T3" fmla="*/ 19 h 77"/>
              <a:gd name="T4" fmla="*/ 2 w 107"/>
              <a:gd name="T5" fmla="*/ 19 h 77"/>
              <a:gd name="T6" fmla="*/ 2 w 107"/>
              <a:gd name="T7" fmla="*/ 19 h 77"/>
              <a:gd name="T8" fmla="*/ 2 w 107"/>
              <a:gd name="T9" fmla="*/ 19 h 77"/>
              <a:gd name="T10" fmla="*/ 2 w 107"/>
              <a:gd name="T11" fmla="*/ 19 h 77"/>
              <a:gd name="T12" fmla="*/ 2 w 107"/>
              <a:gd name="T13" fmla="*/ 19 h 77"/>
              <a:gd name="T14" fmla="*/ 2 w 107"/>
              <a:gd name="T15" fmla="*/ 19 h 77"/>
              <a:gd name="T16" fmla="*/ 2 w 107"/>
              <a:gd name="T17" fmla="*/ 19 h 77"/>
              <a:gd name="T18" fmla="*/ 2 w 107"/>
              <a:gd name="T19" fmla="*/ 19 h 77"/>
              <a:gd name="T20" fmla="*/ 2 w 107"/>
              <a:gd name="T21" fmla="*/ 19 h 77"/>
              <a:gd name="T22" fmla="*/ 2 w 107"/>
              <a:gd name="T23" fmla="*/ 19 h 77"/>
              <a:gd name="T24" fmla="*/ 2 w 107"/>
              <a:gd name="T25" fmla="*/ 19 h 77"/>
              <a:gd name="T26" fmla="*/ 2 w 107"/>
              <a:gd name="T27" fmla="*/ 19 h 77"/>
              <a:gd name="T28" fmla="*/ 2 w 107"/>
              <a:gd name="T29" fmla="*/ 19 h 77"/>
              <a:gd name="T30" fmla="*/ 2 w 107"/>
              <a:gd name="T31" fmla="*/ 19 h 77"/>
              <a:gd name="T32" fmla="*/ 2 w 107"/>
              <a:gd name="T33" fmla="*/ 19 h 77"/>
              <a:gd name="T34" fmla="*/ 2 w 107"/>
              <a:gd name="T35" fmla="*/ 19 h 77"/>
              <a:gd name="T36" fmla="*/ 2 w 107"/>
              <a:gd name="T37" fmla="*/ 1 h 77"/>
              <a:gd name="T38" fmla="*/ 2 w 107"/>
              <a:gd name="T39" fmla="*/ 1 h 77"/>
              <a:gd name="T40" fmla="*/ 2 w 107"/>
              <a:gd name="T41" fmla="*/ 0 h 77"/>
              <a:gd name="T42" fmla="*/ 2 w 107"/>
              <a:gd name="T43" fmla="*/ 1 h 77"/>
              <a:gd name="T44" fmla="*/ 2 w 107"/>
              <a:gd name="T45" fmla="*/ 1 h 77"/>
              <a:gd name="T46" fmla="*/ 2 w 107"/>
              <a:gd name="T47" fmla="*/ 2 h 77"/>
              <a:gd name="T48" fmla="*/ 2 w 107"/>
              <a:gd name="T49" fmla="*/ 4 h 77"/>
              <a:gd name="T50" fmla="*/ 2 w 107"/>
              <a:gd name="T51" fmla="*/ 5 h 77"/>
              <a:gd name="T52" fmla="*/ 2 w 107"/>
              <a:gd name="T53" fmla="*/ 7 h 77"/>
              <a:gd name="T54" fmla="*/ 2 w 107"/>
              <a:gd name="T55" fmla="*/ 9 h 77"/>
              <a:gd name="T56" fmla="*/ 2 w 107"/>
              <a:gd name="T57" fmla="*/ 12 h 77"/>
              <a:gd name="T58" fmla="*/ 2 w 107"/>
              <a:gd name="T59" fmla="*/ 16 h 77"/>
              <a:gd name="T60" fmla="*/ 2 w 107"/>
              <a:gd name="T61" fmla="*/ 19 h 77"/>
              <a:gd name="T62" fmla="*/ 2 w 107"/>
              <a:gd name="T63" fmla="*/ 19 h 77"/>
              <a:gd name="T64" fmla="*/ 2 w 107"/>
              <a:gd name="T65" fmla="*/ 2 h 77"/>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w 107"/>
              <a:gd name="T100" fmla="*/ 0 h 77"/>
              <a:gd name="T101" fmla="*/ 107 w 107"/>
              <a:gd name="T102" fmla="*/ 77 h 77"/>
            </a:gdLst>
            <a:ahLst/>
            <a:cxnLst>
              <a:cxn ang="T66">
                <a:pos x="T0" y="T1"/>
              </a:cxn>
              <a:cxn ang="T67">
                <a:pos x="T2" y="T3"/>
              </a:cxn>
              <a:cxn ang="T68">
                <a:pos x="T4" y="T5"/>
              </a:cxn>
              <a:cxn ang="T69">
                <a:pos x="T6" y="T7"/>
              </a:cxn>
              <a:cxn ang="T70">
                <a:pos x="T8" y="T9"/>
              </a:cxn>
              <a:cxn ang="T71">
                <a:pos x="T10" y="T11"/>
              </a:cxn>
              <a:cxn ang="T72">
                <a:pos x="T12" y="T13"/>
              </a:cxn>
              <a:cxn ang="T73">
                <a:pos x="T14" y="T15"/>
              </a:cxn>
              <a:cxn ang="T74">
                <a:pos x="T16" y="T17"/>
              </a:cxn>
              <a:cxn ang="T75">
                <a:pos x="T18" y="T19"/>
              </a:cxn>
              <a:cxn ang="T76">
                <a:pos x="T20" y="T21"/>
              </a:cxn>
              <a:cxn ang="T77">
                <a:pos x="T22" y="T23"/>
              </a:cxn>
              <a:cxn ang="T78">
                <a:pos x="T24" y="T25"/>
              </a:cxn>
              <a:cxn ang="T79">
                <a:pos x="T26" y="T27"/>
              </a:cxn>
              <a:cxn ang="T80">
                <a:pos x="T28" y="T29"/>
              </a:cxn>
              <a:cxn ang="T81">
                <a:pos x="T30" y="T31"/>
              </a:cxn>
              <a:cxn ang="T82">
                <a:pos x="T32" y="T33"/>
              </a:cxn>
              <a:cxn ang="T83">
                <a:pos x="T34" y="T35"/>
              </a:cxn>
              <a:cxn ang="T84">
                <a:pos x="T36" y="T37"/>
              </a:cxn>
              <a:cxn ang="T85">
                <a:pos x="T38" y="T39"/>
              </a:cxn>
              <a:cxn ang="T86">
                <a:pos x="T40" y="T41"/>
              </a:cxn>
              <a:cxn ang="T87">
                <a:pos x="T42" y="T43"/>
              </a:cxn>
              <a:cxn ang="T88">
                <a:pos x="T44" y="T45"/>
              </a:cxn>
              <a:cxn ang="T89">
                <a:pos x="T46" y="T47"/>
              </a:cxn>
              <a:cxn ang="T90">
                <a:pos x="T48" y="T49"/>
              </a:cxn>
              <a:cxn ang="T91">
                <a:pos x="T50" y="T51"/>
              </a:cxn>
              <a:cxn ang="T92">
                <a:pos x="T52" y="T53"/>
              </a:cxn>
              <a:cxn ang="T93">
                <a:pos x="T54" y="T55"/>
              </a:cxn>
              <a:cxn ang="T94">
                <a:pos x="T56" y="T57"/>
              </a:cxn>
              <a:cxn ang="T95">
                <a:pos x="T58" y="T59"/>
              </a:cxn>
              <a:cxn ang="T96">
                <a:pos x="T60" y="T61"/>
              </a:cxn>
              <a:cxn ang="T97">
                <a:pos x="T62" y="T63"/>
              </a:cxn>
              <a:cxn ang="T98">
                <a:pos x="T64" y="T65"/>
              </a:cxn>
            </a:cxnLst>
            <a:rect l="T99" t="T100" r="T101" b="T102"/>
            <a:pathLst>
              <a:path w="107" h="77">
                <a:moveTo>
                  <a:pt x="45" y="2"/>
                </a:moveTo>
                <a:lnTo>
                  <a:pt x="0" y="77"/>
                </a:lnTo>
                <a:lnTo>
                  <a:pt x="31" y="77"/>
                </a:lnTo>
                <a:lnTo>
                  <a:pt x="35" y="71"/>
                </a:lnTo>
                <a:lnTo>
                  <a:pt x="39" y="66"/>
                </a:lnTo>
                <a:lnTo>
                  <a:pt x="41" y="63"/>
                </a:lnTo>
                <a:lnTo>
                  <a:pt x="43" y="60"/>
                </a:lnTo>
                <a:lnTo>
                  <a:pt x="45" y="57"/>
                </a:lnTo>
                <a:lnTo>
                  <a:pt x="47" y="55"/>
                </a:lnTo>
                <a:lnTo>
                  <a:pt x="49" y="52"/>
                </a:lnTo>
                <a:lnTo>
                  <a:pt x="51" y="49"/>
                </a:lnTo>
                <a:lnTo>
                  <a:pt x="53" y="47"/>
                </a:lnTo>
                <a:lnTo>
                  <a:pt x="55" y="44"/>
                </a:lnTo>
                <a:lnTo>
                  <a:pt x="57" y="42"/>
                </a:lnTo>
                <a:lnTo>
                  <a:pt x="59" y="40"/>
                </a:lnTo>
                <a:lnTo>
                  <a:pt x="61" y="38"/>
                </a:lnTo>
                <a:lnTo>
                  <a:pt x="64" y="35"/>
                </a:lnTo>
                <a:lnTo>
                  <a:pt x="65" y="34"/>
                </a:lnTo>
                <a:lnTo>
                  <a:pt x="67" y="33"/>
                </a:lnTo>
                <a:lnTo>
                  <a:pt x="69" y="31"/>
                </a:lnTo>
                <a:lnTo>
                  <a:pt x="70" y="30"/>
                </a:lnTo>
                <a:lnTo>
                  <a:pt x="72" y="29"/>
                </a:lnTo>
                <a:lnTo>
                  <a:pt x="73" y="28"/>
                </a:lnTo>
                <a:lnTo>
                  <a:pt x="75" y="27"/>
                </a:lnTo>
                <a:lnTo>
                  <a:pt x="77" y="26"/>
                </a:lnTo>
                <a:lnTo>
                  <a:pt x="78" y="25"/>
                </a:lnTo>
                <a:lnTo>
                  <a:pt x="80" y="24"/>
                </a:lnTo>
                <a:lnTo>
                  <a:pt x="82" y="23"/>
                </a:lnTo>
                <a:lnTo>
                  <a:pt x="83" y="23"/>
                </a:lnTo>
                <a:lnTo>
                  <a:pt x="85" y="22"/>
                </a:lnTo>
                <a:lnTo>
                  <a:pt x="86" y="22"/>
                </a:lnTo>
                <a:lnTo>
                  <a:pt x="88" y="22"/>
                </a:lnTo>
                <a:lnTo>
                  <a:pt x="89" y="22"/>
                </a:lnTo>
                <a:lnTo>
                  <a:pt x="91" y="22"/>
                </a:lnTo>
                <a:lnTo>
                  <a:pt x="92" y="22"/>
                </a:lnTo>
                <a:lnTo>
                  <a:pt x="93" y="22"/>
                </a:lnTo>
                <a:lnTo>
                  <a:pt x="94" y="22"/>
                </a:lnTo>
                <a:lnTo>
                  <a:pt x="107" y="1"/>
                </a:lnTo>
                <a:lnTo>
                  <a:pt x="106" y="1"/>
                </a:lnTo>
                <a:lnTo>
                  <a:pt x="105" y="1"/>
                </a:lnTo>
                <a:lnTo>
                  <a:pt x="104" y="1"/>
                </a:lnTo>
                <a:lnTo>
                  <a:pt x="102" y="0"/>
                </a:lnTo>
                <a:lnTo>
                  <a:pt x="101" y="1"/>
                </a:lnTo>
                <a:lnTo>
                  <a:pt x="99" y="1"/>
                </a:lnTo>
                <a:lnTo>
                  <a:pt x="97" y="1"/>
                </a:lnTo>
                <a:lnTo>
                  <a:pt x="96" y="1"/>
                </a:lnTo>
                <a:lnTo>
                  <a:pt x="94" y="2"/>
                </a:lnTo>
                <a:lnTo>
                  <a:pt x="92" y="2"/>
                </a:lnTo>
                <a:lnTo>
                  <a:pt x="91" y="3"/>
                </a:lnTo>
                <a:lnTo>
                  <a:pt x="89" y="4"/>
                </a:lnTo>
                <a:lnTo>
                  <a:pt x="88" y="4"/>
                </a:lnTo>
                <a:lnTo>
                  <a:pt x="86" y="5"/>
                </a:lnTo>
                <a:lnTo>
                  <a:pt x="85" y="6"/>
                </a:lnTo>
                <a:lnTo>
                  <a:pt x="83" y="7"/>
                </a:lnTo>
                <a:lnTo>
                  <a:pt x="81" y="8"/>
                </a:lnTo>
                <a:lnTo>
                  <a:pt x="80" y="9"/>
                </a:lnTo>
                <a:lnTo>
                  <a:pt x="79" y="10"/>
                </a:lnTo>
                <a:lnTo>
                  <a:pt x="77" y="12"/>
                </a:lnTo>
                <a:lnTo>
                  <a:pt x="74" y="14"/>
                </a:lnTo>
                <a:lnTo>
                  <a:pt x="72" y="16"/>
                </a:lnTo>
                <a:lnTo>
                  <a:pt x="69" y="19"/>
                </a:lnTo>
                <a:lnTo>
                  <a:pt x="66" y="22"/>
                </a:lnTo>
                <a:lnTo>
                  <a:pt x="62" y="27"/>
                </a:lnTo>
                <a:lnTo>
                  <a:pt x="57" y="31"/>
                </a:lnTo>
                <a:lnTo>
                  <a:pt x="75" y="2"/>
                </a:lnTo>
                <a:lnTo>
                  <a:pt x="45" y="2"/>
                </a:lnTo>
                <a:close/>
              </a:path>
            </a:pathLst>
          </a:custGeom>
          <a:solidFill>
            <a:srgbClr val="00593C"/>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306922" name="Freeform 10">
            <a:extLst>
              <a:ext uri="{FF2B5EF4-FFF2-40B4-BE49-F238E27FC236}">
                <a16:creationId xmlns:a16="http://schemas.microsoft.com/office/drawing/2014/main" id="{B3B81A51-E193-45EC-9DBF-9CC8F0A336E1}"/>
              </a:ext>
            </a:extLst>
          </xdr:cNvPr>
          <xdr:cNvSpPr>
            <a:spLocks noEditPoints="1"/>
          </xdr:cNvSpPr>
        </xdr:nvSpPr>
        <xdr:spPr bwMode="auto">
          <a:xfrm>
            <a:off x="1186" y="1737"/>
            <a:ext cx="78" cy="106"/>
          </a:xfrm>
          <a:custGeom>
            <a:avLst/>
            <a:gdLst>
              <a:gd name="T0" fmla="*/ 2 w 96"/>
              <a:gd name="T1" fmla="*/ 27 h 108"/>
              <a:gd name="T2" fmla="*/ 0 w 96"/>
              <a:gd name="T3" fmla="*/ 27 h 108"/>
              <a:gd name="T4" fmla="*/ 2 w 96"/>
              <a:gd name="T5" fmla="*/ 27 h 108"/>
              <a:gd name="T6" fmla="*/ 2 w 96"/>
              <a:gd name="T7" fmla="*/ 27 h 108"/>
              <a:gd name="T8" fmla="*/ 2 w 96"/>
              <a:gd name="T9" fmla="*/ 27 h 108"/>
              <a:gd name="T10" fmla="*/ 2 w 96"/>
              <a:gd name="T11" fmla="*/ 0 h 108"/>
              <a:gd name="T12" fmla="*/ 2 w 96"/>
              <a:gd name="T13" fmla="*/ 17 h 108"/>
              <a:gd name="T14" fmla="*/ 2 w 96"/>
              <a:gd name="T15" fmla="*/ 25 h 108"/>
              <a:gd name="T16" fmla="*/ 2 w 96"/>
              <a:gd name="T17" fmla="*/ 19 h 108"/>
              <a:gd name="T18" fmla="*/ 2 w 96"/>
              <a:gd name="T19" fmla="*/ 0 h 108"/>
              <a:gd name="T20" fmla="*/ 0 60000 65536"/>
              <a:gd name="T21" fmla="*/ 0 60000 65536"/>
              <a:gd name="T22" fmla="*/ 0 60000 65536"/>
              <a:gd name="T23" fmla="*/ 0 60000 65536"/>
              <a:gd name="T24" fmla="*/ 0 60000 65536"/>
              <a:gd name="T25" fmla="*/ 0 60000 65536"/>
              <a:gd name="T26" fmla="*/ 0 60000 65536"/>
              <a:gd name="T27" fmla="*/ 0 60000 65536"/>
              <a:gd name="T28" fmla="*/ 0 60000 65536"/>
              <a:gd name="T29" fmla="*/ 0 60000 65536"/>
              <a:gd name="T30" fmla="*/ 0 w 96"/>
              <a:gd name="T31" fmla="*/ 0 h 108"/>
              <a:gd name="T32" fmla="*/ 96 w 96"/>
              <a:gd name="T33" fmla="*/ 108 h 108"/>
            </a:gdLst>
            <a:ahLst/>
            <a:cxnLst>
              <a:cxn ang="T20">
                <a:pos x="T0" y="T1"/>
              </a:cxn>
              <a:cxn ang="T21">
                <a:pos x="T2" y="T3"/>
              </a:cxn>
              <a:cxn ang="T22">
                <a:pos x="T4" y="T5"/>
              </a:cxn>
              <a:cxn ang="T23">
                <a:pos x="T6" y="T7"/>
              </a:cxn>
              <a:cxn ang="T24">
                <a:pos x="T8" y="T9"/>
              </a:cxn>
              <a:cxn ang="T25">
                <a:pos x="T10" y="T11"/>
              </a:cxn>
              <a:cxn ang="T26">
                <a:pos x="T12" y="T13"/>
              </a:cxn>
              <a:cxn ang="T27">
                <a:pos x="T14" y="T15"/>
              </a:cxn>
              <a:cxn ang="T28">
                <a:pos x="T16" y="T17"/>
              </a:cxn>
              <a:cxn ang="T29">
                <a:pos x="T18" y="T19"/>
              </a:cxn>
            </a:cxnLst>
            <a:rect l="T30" t="T31" r="T32" b="T33"/>
            <a:pathLst>
              <a:path w="96" h="108">
                <a:moveTo>
                  <a:pt x="44" y="33"/>
                </a:moveTo>
                <a:lnTo>
                  <a:pt x="0" y="108"/>
                </a:lnTo>
                <a:lnTo>
                  <a:pt x="32" y="108"/>
                </a:lnTo>
                <a:lnTo>
                  <a:pt x="77" y="33"/>
                </a:lnTo>
                <a:lnTo>
                  <a:pt x="44" y="33"/>
                </a:lnTo>
                <a:close/>
                <a:moveTo>
                  <a:pt x="94" y="0"/>
                </a:moveTo>
                <a:lnTo>
                  <a:pt x="48" y="17"/>
                </a:lnTo>
                <a:lnTo>
                  <a:pt x="49" y="25"/>
                </a:lnTo>
                <a:lnTo>
                  <a:pt x="96" y="19"/>
                </a:lnTo>
                <a:lnTo>
                  <a:pt x="94" y="0"/>
                </a:lnTo>
                <a:close/>
              </a:path>
            </a:pathLst>
          </a:custGeom>
          <a:solidFill>
            <a:srgbClr val="00593C"/>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306923" name="Freeform 11">
            <a:extLst>
              <a:ext uri="{FF2B5EF4-FFF2-40B4-BE49-F238E27FC236}">
                <a16:creationId xmlns:a16="http://schemas.microsoft.com/office/drawing/2014/main" id="{B5FEDDF1-F4A8-436E-86E5-4AA9C4D3DC5D}"/>
              </a:ext>
            </a:extLst>
          </xdr:cNvPr>
          <xdr:cNvSpPr>
            <a:spLocks/>
          </xdr:cNvSpPr>
        </xdr:nvSpPr>
        <xdr:spPr bwMode="auto">
          <a:xfrm>
            <a:off x="1239" y="1768"/>
            <a:ext cx="87" cy="76"/>
          </a:xfrm>
          <a:custGeom>
            <a:avLst/>
            <a:gdLst>
              <a:gd name="T0" fmla="*/ 2 w 107"/>
              <a:gd name="T1" fmla="*/ 2 h 78"/>
              <a:gd name="T2" fmla="*/ 2 w 107"/>
              <a:gd name="T3" fmla="*/ 1 h 78"/>
              <a:gd name="T4" fmla="*/ 2 w 107"/>
              <a:gd name="T5" fmla="*/ 0 h 78"/>
              <a:gd name="T6" fmla="*/ 2 w 107"/>
              <a:gd name="T7" fmla="*/ 1 h 78"/>
              <a:gd name="T8" fmla="*/ 2 w 107"/>
              <a:gd name="T9" fmla="*/ 4 h 78"/>
              <a:gd name="T10" fmla="*/ 2 w 107"/>
              <a:gd name="T11" fmla="*/ 7 h 78"/>
              <a:gd name="T12" fmla="*/ 2 w 107"/>
              <a:gd name="T13" fmla="*/ 12 h 78"/>
              <a:gd name="T14" fmla="*/ 2 w 107"/>
              <a:gd name="T15" fmla="*/ 17 h 78"/>
              <a:gd name="T16" fmla="*/ 2 w 107"/>
              <a:gd name="T17" fmla="*/ 19 h 78"/>
              <a:gd name="T18" fmla="*/ 2 w 107"/>
              <a:gd name="T19" fmla="*/ 19 h 78"/>
              <a:gd name="T20" fmla="*/ 2 w 107"/>
              <a:gd name="T21" fmla="*/ 19 h 78"/>
              <a:gd name="T22" fmla="*/ 2 w 107"/>
              <a:gd name="T23" fmla="*/ 19 h 78"/>
              <a:gd name="T24" fmla="*/ 2 w 107"/>
              <a:gd name="T25" fmla="*/ 19 h 78"/>
              <a:gd name="T26" fmla="*/ 1 w 107"/>
              <a:gd name="T27" fmla="*/ 19 h 78"/>
              <a:gd name="T28" fmla="*/ 0 w 107"/>
              <a:gd name="T29" fmla="*/ 19 h 78"/>
              <a:gd name="T30" fmla="*/ 0 w 107"/>
              <a:gd name="T31" fmla="*/ 19 h 78"/>
              <a:gd name="T32" fmla="*/ 1 w 107"/>
              <a:gd name="T33" fmla="*/ 19 h 78"/>
              <a:gd name="T34" fmla="*/ 2 w 107"/>
              <a:gd name="T35" fmla="*/ 19 h 78"/>
              <a:gd name="T36" fmla="*/ 2 w 107"/>
              <a:gd name="T37" fmla="*/ 19 h 78"/>
              <a:gd name="T38" fmla="*/ 2 w 107"/>
              <a:gd name="T39" fmla="*/ 19 h 78"/>
              <a:gd name="T40" fmla="*/ 2 w 107"/>
              <a:gd name="T41" fmla="*/ 19 h 78"/>
              <a:gd name="T42" fmla="*/ 2 w 107"/>
              <a:gd name="T43" fmla="*/ 19 h 78"/>
              <a:gd name="T44" fmla="*/ 2 w 107"/>
              <a:gd name="T45" fmla="*/ 19 h 78"/>
              <a:gd name="T46" fmla="*/ 2 w 107"/>
              <a:gd name="T47" fmla="*/ 19 h 78"/>
              <a:gd name="T48" fmla="*/ 2 w 107"/>
              <a:gd name="T49" fmla="*/ 19 h 78"/>
              <a:gd name="T50" fmla="*/ 2 w 107"/>
              <a:gd name="T51" fmla="*/ 19 h 78"/>
              <a:gd name="T52" fmla="*/ 2 w 107"/>
              <a:gd name="T53" fmla="*/ 19 h 78"/>
              <a:gd name="T54" fmla="*/ 2 w 107"/>
              <a:gd name="T55" fmla="*/ 19 h 78"/>
              <a:gd name="T56" fmla="*/ 2 w 107"/>
              <a:gd name="T57" fmla="*/ 19 h 78"/>
              <a:gd name="T58" fmla="*/ 2 w 107"/>
              <a:gd name="T59" fmla="*/ 19 h 78"/>
              <a:gd name="T60" fmla="*/ 2 w 107"/>
              <a:gd name="T61" fmla="*/ 19 h 78"/>
              <a:gd name="T62" fmla="*/ 2 w 107"/>
              <a:gd name="T63" fmla="*/ 19 h 78"/>
              <a:gd name="T64" fmla="*/ 2 w 107"/>
              <a:gd name="T65" fmla="*/ 19 h 78"/>
              <a:gd name="T66" fmla="*/ 2 w 107"/>
              <a:gd name="T67" fmla="*/ 19 h 78"/>
              <a:gd name="T68" fmla="*/ 2 w 107"/>
              <a:gd name="T69" fmla="*/ 19 h 78"/>
              <a:gd name="T70" fmla="*/ 2 w 107"/>
              <a:gd name="T71" fmla="*/ 19 h 78"/>
              <a:gd name="T72" fmla="*/ 2 w 107"/>
              <a:gd name="T73" fmla="*/ 19 h 78"/>
              <a:gd name="T74" fmla="*/ 2 w 107"/>
              <a:gd name="T75" fmla="*/ 19 h 78"/>
              <a:gd name="T76" fmla="*/ 2 w 107"/>
              <a:gd name="T77" fmla="*/ 19 h 78"/>
              <a:gd name="T78" fmla="*/ 2 w 107"/>
              <a:gd name="T79" fmla="*/ 19 h 78"/>
              <a:gd name="T80" fmla="*/ 2 w 107"/>
              <a:gd name="T81" fmla="*/ 19 h 78"/>
              <a:gd name="T82" fmla="*/ 2 w 107"/>
              <a:gd name="T83" fmla="*/ 19 h 78"/>
              <a:gd name="T84" fmla="*/ 2 w 107"/>
              <a:gd name="T85" fmla="*/ 19 h 78"/>
              <a:gd name="T86" fmla="*/ 2 w 107"/>
              <a:gd name="T87" fmla="*/ 19 h 78"/>
              <a:gd name="T88" fmla="*/ 2 w 107"/>
              <a:gd name="T89" fmla="*/ 19 h 78"/>
              <a:gd name="T90" fmla="*/ 2 w 107"/>
              <a:gd name="T91" fmla="*/ 19 h 78"/>
              <a:gd name="T92" fmla="*/ 2 w 107"/>
              <a:gd name="T93" fmla="*/ 19 h 78"/>
              <a:gd name="T94" fmla="*/ 2 w 107"/>
              <a:gd name="T95" fmla="*/ 19 h 78"/>
              <a:gd name="T96" fmla="*/ 2 w 107"/>
              <a:gd name="T97" fmla="*/ 17 h 78"/>
              <a:gd name="T98" fmla="*/ 2 w 107"/>
              <a:gd name="T99" fmla="*/ 15 h 78"/>
              <a:gd name="T100" fmla="*/ 2 w 107"/>
              <a:gd name="T101" fmla="*/ 15 h 78"/>
              <a:gd name="T102" fmla="*/ 2 w 107"/>
              <a:gd name="T103" fmla="*/ 16 h 78"/>
              <a:gd name="T104" fmla="*/ 2 w 107"/>
              <a:gd name="T105" fmla="*/ 16 h 78"/>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w 107"/>
              <a:gd name="T160" fmla="*/ 0 h 78"/>
              <a:gd name="T161" fmla="*/ 107 w 107"/>
              <a:gd name="T162" fmla="*/ 78 h 78"/>
            </a:gdLst>
            <a:ahLst/>
            <a:cxnLst>
              <a:cxn ang="T106">
                <a:pos x="T0" y="T1"/>
              </a:cxn>
              <a:cxn ang="T107">
                <a:pos x="T2" y="T3"/>
              </a:cxn>
              <a:cxn ang="T108">
                <a:pos x="T4" y="T5"/>
              </a:cxn>
              <a:cxn ang="T109">
                <a:pos x="T6" y="T7"/>
              </a:cxn>
              <a:cxn ang="T110">
                <a:pos x="T8" y="T9"/>
              </a:cxn>
              <a:cxn ang="T111">
                <a:pos x="T10" y="T11"/>
              </a:cxn>
              <a:cxn ang="T112">
                <a:pos x="T12" y="T13"/>
              </a:cxn>
              <a:cxn ang="T113">
                <a:pos x="T14" y="T15"/>
              </a:cxn>
              <a:cxn ang="T114">
                <a:pos x="T16" y="T17"/>
              </a:cxn>
              <a:cxn ang="T115">
                <a:pos x="T18" y="T19"/>
              </a:cxn>
              <a:cxn ang="T116">
                <a:pos x="T20" y="T21"/>
              </a:cxn>
              <a:cxn ang="T117">
                <a:pos x="T22" y="T23"/>
              </a:cxn>
              <a:cxn ang="T118">
                <a:pos x="T24" y="T25"/>
              </a:cxn>
              <a:cxn ang="T119">
                <a:pos x="T26" y="T27"/>
              </a:cxn>
              <a:cxn ang="T120">
                <a:pos x="T28" y="T29"/>
              </a:cxn>
              <a:cxn ang="T121">
                <a:pos x="T30" y="T31"/>
              </a:cxn>
              <a:cxn ang="T122">
                <a:pos x="T32" y="T33"/>
              </a:cxn>
              <a:cxn ang="T123">
                <a:pos x="T34" y="T35"/>
              </a:cxn>
              <a:cxn ang="T124">
                <a:pos x="T36" y="T37"/>
              </a:cxn>
              <a:cxn ang="T125">
                <a:pos x="T38" y="T39"/>
              </a:cxn>
              <a:cxn ang="T126">
                <a:pos x="T40" y="T41"/>
              </a:cxn>
              <a:cxn ang="T127">
                <a:pos x="T42" y="T43"/>
              </a:cxn>
              <a:cxn ang="T128">
                <a:pos x="T44" y="T45"/>
              </a:cxn>
              <a:cxn ang="T129">
                <a:pos x="T46" y="T47"/>
              </a:cxn>
              <a:cxn ang="T130">
                <a:pos x="T48" y="T49"/>
              </a:cxn>
              <a:cxn ang="T131">
                <a:pos x="T50" y="T51"/>
              </a:cxn>
              <a:cxn ang="T132">
                <a:pos x="T52" y="T53"/>
              </a:cxn>
              <a:cxn ang="T133">
                <a:pos x="T54" y="T55"/>
              </a:cxn>
              <a:cxn ang="T134">
                <a:pos x="T56" y="T57"/>
              </a:cxn>
              <a:cxn ang="T135">
                <a:pos x="T58" y="T59"/>
              </a:cxn>
              <a:cxn ang="T136">
                <a:pos x="T60" y="T61"/>
              </a:cxn>
              <a:cxn ang="T137">
                <a:pos x="T62" y="T63"/>
              </a:cxn>
              <a:cxn ang="T138">
                <a:pos x="T64" y="T65"/>
              </a:cxn>
              <a:cxn ang="T139">
                <a:pos x="T66" y="T67"/>
              </a:cxn>
              <a:cxn ang="T140">
                <a:pos x="T68" y="T69"/>
              </a:cxn>
              <a:cxn ang="T141">
                <a:pos x="T70" y="T71"/>
              </a:cxn>
              <a:cxn ang="T142">
                <a:pos x="T72" y="T73"/>
              </a:cxn>
              <a:cxn ang="T143">
                <a:pos x="T74" y="T75"/>
              </a:cxn>
              <a:cxn ang="T144">
                <a:pos x="T76" y="T77"/>
              </a:cxn>
              <a:cxn ang="T145">
                <a:pos x="T78" y="T79"/>
              </a:cxn>
              <a:cxn ang="T146">
                <a:pos x="T80" y="T81"/>
              </a:cxn>
              <a:cxn ang="T147">
                <a:pos x="T82" y="T83"/>
              </a:cxn>
              <a:cxn ang="T148">
                <a:pos x="T84" y="T85"/>
              </a:cxn>
              <a:cxn ang="T149">
                <a:pos x="T86" y="T87"/>
              </a:cxn>
              <a:cxn ang="T150">
                <a:pos x="T88" y="T89"/>
              </a:cxn>
              <a:cxn ang="T151">
                <a:pos x="T90" y="T91"/>
              </a:cxn>
              <a:cxn ang="T152">
                <a:pos x="T92" y="T93"/>
              </a:cxn>
              <a:cxn ang="T153">
                <a:pos x="T94" y="T95"/>
              </a:cxn>
              <a:cxn ang="T154">
                <a:pos x="T96" y="T97"/>
              </a:cxn>
              <a:cxn ang="T155">
                <a:pos x="T98" y="T99"/>
              </a:cxn>
              <a:cxn ang="T156">
                <a:pos x="T100" y="T101"/>
              </a:cxn>
              <a:cxn ang="T157">
                <a:pos x="T102" y="T103"/>
              </a:cxn>
              <a:cxn ang="T158">
                <a:pos x="T104" y="T105"/>
              </a:cxn>
            </a:cxnLst>
            <a:rect l="T159" t="T160" r="T161" b="T162"/>
            <a:pathLst>
              <a:path w="107" h="78">
                <a:moveTo>
                  <a:pt x="107" y="4"/>
                </a:moveTo>
                <a:lnTo>
                  <a:pt x="104" y="3"/>
                </a:lnTo>
                <a:lnTo>
                  <a:pt x="101" y="2"/>
                </a:lnTo>
                <a:lnTo>
                  <a:pt x="99" y="2"/>
                </a:lnTo>
                <a:lnTo>
                  <a:pt x="96" y="1"/>
                </a:lnTo>
                <a:lnTo>
                  <a:pt x="94" y="1"/>
                </a:lnTo>
                <a:lnTo>
                  <a:pt x="91" y="1"/>
                </a:lnTo>
                <a:lnTo>
                  <a:pt x="88" y="0"/>
                </a:lnTo>
                <a:lnTo>
                  <a:pt x="85" y="0"/>
                </a:lnTo>
                <a:lnTo>
                  <a:pt x="81" y="1"/>
                </a:lnTo>
                <a:lnTo>
                  <a:pt x="77" y="1"/>
                </a:lnTo>
                <a:lnTo>
                  <a:pt x="73" y="1"/>
                </a:lnTo>
                <a:lnTo>
                  <a:pt x="69" y="2"/>
                </a:lnTo>
                <a:lnTo>
                  <a:pt x="66" y="3"/>
                </a:lnTo>
                <a:lnTo>
                  <a:pt x="62" y="4"/>
                </a:lnTo>
                <a:lnTo>
                  <a:pt x="58" y="5"/>
                </a:lnTo>
                <a:lnTo>
                  <a:pt x="55" y="6"/>
                </a:lnTo>
                <a:lnTo>
                  <a:pt x="51" y="7"/>
                </a:lnTo>
                <a:lnTo>
                  <a:pt x="48" y="8"/>
                </a:lnTo>
                <a:lnTo>
                  <a:pt x="45" y="10"/>
                </a:lnTo>
                <a:lnTo>
                  <a:pt x="42" y="12"/>
                </a:lnTo>
                <a:lnTo>
                  <a:pt x="39" y="13"/>
                </a:lnTo>
                <a:lnTo>
                  <a:pt x="36" y="15"/>
                </a:lnTo>
                <a:lnTo>
                  <a:pt x="33" y="17"/>
                </a:lnTo>
                <a:lnTo>
                  <a:pt x="30" y="19"/>
                </a:lnTo>
                <a:lnTo>
                  <a:pt x="27" y="21"/>
                </a:lnTo>
                <a:lnTo>
                  <a:pt x="24" y="23"/>
                </a:lnTo>
                <a:lnTo>
                  <a:pt x="22" y="25"/>
                </a:lnTo>
                <a:lnTo>
                  <a:pt x="20" y="27"/>
                </a:lnTo>
                <a:lnTo>
                  <a:pt x="17" y="30"/>
                </a:lnTo>
                <a:lnTo>
                  <a:pt x="15" y="32"/>
                </a:lnTo>
                <a:lnTo>
                  <a:pt x="13" y="34"/>
                </a:lnTo>
                <a:lnTo>
                  <a:pt x="11" y="36"/>
                </a:lnTo>
                <a:lnTo>
                  <a:pt x="10" y="39"/>
                </a:lnTo>
                <a:lnTo>
                  <a:pt x="8" y="41"/>
                </a:lnTo>
                <a:lnTo>
                  <a:pt x="6" y="43"/>
                </a:lnTo>
                <a:lnTo>
                  <a:pt x="5" y="45"/>
                </a:lnTo>
                <a:lnTo>
                  <a:pt x="4" y="47"/>
                </a:lnTo>
                <a:lnTo>
                  <a:pt x="3" y="50"/>
                </a:lnTo>
                <a:lnTo>
                  <a:pt x="2" y="52"/>
                </a:lnTo>
                <a:lnTo>
                  <a:pt x="1" y="54"/>
                </a:lnTo>
                <a:lnTo>
                  <a:pt x="1" y="55"/>
                </a:lnTo>
                <a:lnTo>
                  <a:pt x="0" y="57"/>
                </a:lnTo>
                <a:lnTo>
                  <a:pt x="0" y="58"/>
                </a:lnTo>
                <a:lnTo>
                  <a:pt x="0" y="59"/>
                </a:lnTo>
                <a:lnTo>
                  <a:pt x="0" y="61"/>
                </a:lnTo>
                <a:lnTo>
                  <a:pt x="0" y="62"/>
                </a:lnTo>
                <a:lnTo>
                  <a:pt x="0" y="63"/>
                </a:lnTo>
                <a:lnTo>
                  <a:pt x="0" y="64"/>
                </a:lnTo>
                <a:lnTo>
                  <a:pt x="0" y="65"/>
                </a:lnTo>
                <a:lnTo>
                  <a:pt x="1" y="67"/>
                </a:lnTo>
                <a:lnTo>
                  <a:pt x="1" y="68"/>
                </a:lnTo>
                <a:lnTo>
                  <a:pt x="2" y="69"/>
                </a:lnTo>
                <a:lnTo>
                  <a:pt x="3" y="70"/>
                </a:lnTo>
                <a:lnTo>
                  <a:pt x="4" y="71"/>
                </a:lnTo>
                <a:lnTo>
                  <a:pt x="4" y="72"/>
                </a:lnTo>
                <a:lnTo>
                  <a:pt x="5" y="73"/>
                </a:lnTo>
                <a:lnTo>
                  <a:pt x="6" y="73"/>
                </a:lnTo>
                <a:lnTo>
                  <a:pt x="7" y="74"/>
                </a:lnTo>
                <a:lnTo>
                  <a:pt x="8" y="75"/>
                </a:lnTo>
                <a:lnTo>
                  <a:pt x="9" y="75"/>
                </a:lnTo>
                <a:lnTo>
                  <a:pt x="10" y="76"/>
                </a:lnTo>
                <a:lnTo>
                  <a:pt x="12" y="76"/>
                </a:lnTo>
                <a:lnTo>
                  <a:pt x="13" y="77"/>
                </a:lnTo>
                <a:lnTo>
                  <a:pt x="14" y="77"/>
                </a:lnTo>
                <a:lnTo>
                  <a:pt x="16" y="77"/>
                </a:lnTo>
                <a:lnTo>
                  <a:pt x="17" y="78"/>
                </a:lnTo>
                <a:lnTo>
                  <a:pt x="19" y="78"/>
                </a:lnTo>
                <a:lnTo>
                  <a:pt x="21" y="78"/>
                </a:lnTo>
                <a:lnTo>
                  <a:pt x="22" y="78"/>
                </a:lnTo>
                <a:lnTo>
                  <a:pt x="24" y="78"/>
                </a:lnTo>
                <a:lnTo>
                  <a:pt x="26" y="78"/>
                </a:lnTo>
                <a:lnTo>
                  <a:pt x="29" y="78"/>
                </a:lnTo>
                <a:lnTo>
                  <a:pt x="32" y="78"/>
                </a:lnTo>
                <a:lnTo>
                  <a:pt x="36" y="78"/>
                </a:lnTo>
                <a:lnTo>
                  <a:pt x="39" y="77"/>
                </a:lnTo>
                <a:lnTo>
                  <a:pt x="42" y="77"/>
                </a:lnTo>
                <a:lnTo>
                  <a:pt x="45" y="76"/>
                </a:lnTo>
                <a:lnTo>
                  <a:pt x="48" y="76"/>
                </a:lnTo>
                <a:lnTo>
                  <a:pt x="51" y="75"/>
                </a:lnTo>
                <a:lnTo>
                  <a:pt x="54" y="74"/>
                </a:lnTo>
                <a:lnTo>
                  <a:pt x="57" y="73"/>
                </a:lnTo>
                <a:lnTo>
                  <a:pt x="60" y="72"/>
                </a:lnTo>
                <a:lnTo>
                  <a:pt x="62" y="71"/>
                </a:lnTo>
                <a:lnTo>
                  <a:pt x="68" y="69"/>
                </a:lnTo>
                <a:lnTo>
                  <a:pt x="72" y="67"/>
                </a:lnTo>
                <a:lnTo>
                  <a:pt x="67" y="56"/>
                </a:lnTo>
                <a:lnTo>
                  <a:pt x="66" y="56"/>
                </a:lnTo>
                <a:lnTo>
                  <a:pt x="63" y="57"/>
                </a:lnTo>
                <a:lnTo>
                  <a:pt x="60" y="58"/>
                </a:lnTo>
                <a:lnTo>
                  <a:pt x="57" y="60"/>
                </a:lnTo>
                <a:lnTo>
                  <a:pt x="55" y="60"/>
                </a:lnTo>
                <a:lnTo>
                  <a:pt x="53" y="61"/>
                </a:lnTo>
                <a:lnTo>
                  <a:pt x="51" y="61"/>
                </a:lnTo>
                <a:lnTo>
                  <a:pt x="49" y="62"/>
                </a:lnTo>
                <a:lnTo>
                  <a:pt x="48" y="62"/>
                </a:lnTo>
                <a:lnTo>
                  <a:pt x="46" y="63"/>
                </a:lnTo>
                <a:lnTo>
                  <a:pt x="44" y="63"/>
                </a:lnTo>
                <a:lnTo>
                  <a:pt x="43" y="63"/>
                </a:lnTo>
                <a:lnTo>
                  <a:pt x="42" y="63"/>
                </a:lnTo>
                <a:lnTo>
                  <a:pt x="41" y="63"/>
                </a:lnTo>
                <a:lnTo>
                  <a:pt x="40" y="63"/>
                </a:lnTo>
                <a:lnTo>
                  <a:pt x="39" y="62"/>
                </a:lnTo>
                <a:lnTo>
                  <a:pt x="38" y="62"/>
                </a:lnTo>
                <a:lnTo>
                  <a:pt x="37" y="61"/>
                </a:lnTo>
                <a:lnTo>
                  <a:pt x="36" y="60"/>
                </a:lnTo>
                <a:lnTo>
                  <a:pt x="36" y="59"/>
                </a:lnTo>
                <a:lnTo>
                  <a:pt x="36" y="58"/>
                </a:lnTo>
                <a:lnTo>
                  <a:pt x="36" y="57"/>
                </a:lnTo>
                <a:lnTo>
                  <a:pt x="36" y="56"/>
                </a:lnTo>
                <a:lnTo>
                  <a:pt x="36" y="55"/>
                </a:lnTo>
                <a:lnTo>
                  <a:pt x="36" y="54"/>
                </a:lnTo>
                <a:lnTo>
                  <a:pt x="36" y="53"/>
                </a:lnTo>
                <a:lnTo>
                  <a:pt x="37" y="52"/>
                </a:lnTo>
                <a:lnTo>
                  <a:pt x="38" y="50"/>
                </a:lnTo>
                <a:lnTo>
                  <a:pt x="38" y="49"/>
                </a:lnTo>
                <a:lnTo>
                  <a:pt x="39" y="47"/>
                </a:lnTo>
                <a:lnTo>
                  <a:pt x="40" y="46"/>
                </a:lnTo>
                <a:lnTo>
                  <a:pt x="41" y="44"/>
                </a:lnTo>
                <a:lnTo>
                  <a:pt x="42" y="43"/>
                </a:lnTo>
                <a:lnTo>
                  <a:pt x="43" y="41"/>
                </a:lnTo>
                <a:lnTo>
                  <a:pt x="44" y="39"/>
                </a:lnTo>
                <a:lnTo>
                  <a:pt x="45" y="38"/>
                </a:lnTo>
                <a:lnTo>
                  <a:pt x="47" y="36"/>
                </a:lnTo>
                <a:lnTo>
                  <a:pt x="48" y="35"/>
                </a:lnTo>
                <a:lnTo>
                  <a:pt x="50" y="33"/>
                </a:lnTo>
                <a:lnTo>
                  <a:pt x="51" y="32"/>
                </a:lnTo>
                <a:lnTo>
                  <a:pt x="53" y="30"/>
                </a:lnTo>
                <a:lnTo>
                  <a:pt x="54" y="29"/>
                </a:lnTo>
                <a:lnTo>
                  <a:pt x="56" y="27"/>
                </a:lnTo>
                <a:lnTo>
                  <a:pt x="58" y="26"/>
                </a:lnTo>
                <a:lnTo>
                  <a:pt x="60" y="24"/>
                </a:lnTo>
                <a:lnTo>
                  <a:pt x="61" y="23"/>
                </a:lnTo>
                <a:lnTo>
                  <a:pt x="63" y="22"/>
                </a:lnTo>
                <a:lnTo>
                  <a:pt x="65" y="21"/>
                </a:lnTo>
                <a:lnTo>
                  <a:pt x="67" y="20"/>
                </a:lnTo>
                <a:lnTo>
                  <a:pt x="69" y="19"/>
                </a:lnTo>
                <a:lnTo>
                  <a:pt x="71" y="18"/>
                </a:lnTo>
                <a:lnTo>
                  <a:pt x="73" y="17"/>
                </a:lnTo>
                <a:lnTo>
                  <a:pt x="75" y="17"/>
                </a:lnTo>
                <a:lnTo>
                  <a:pt x="77" y="16"/>
                </a:lnTo>
                <a:lnTo>
                  <a:pt x="79" y="16"/>
                </a:lnTo>
                <a:lnTo>
                  <a:pt x="81" y="15"/>
                </a:lnTo>
                <a:lnTo>
                  <a:pt x="83" y="15"/>
                </a:lnTo>
                <a:lnTo>
                  <a:pt x="85" y="15"/>
                </a:lnTo>
                <a:lnTo>
                  <a:pt x="86" y="15"/>
                </a:lnTo>
                <a:lnTo>
                  <a:pt x="88" y="15"/>
                </a:lnTo>
                <a:lnTo>
                  <a:pt x="89" y="15"/>
                </a:lnTo>
                <a:lnTo>
                  <a:pt x="91" y="16"/>
                </a:lnTo>
                <a:lnTo>
                  <a:pt x="92" y="16"/>
                </a:lnTo>
                <a:lnTo>
                  <a:pt x="93" y="16"/>
                </a:lnTo>
                <a:lnTo>
                  <a:pt x="94" y="16"/>
                </a:lnTo>
                <a:lnTo>
                  <a:pt x="95" y="17"/>
                </a:lnTo>
                <a:lnTo>
                  <a:pt x="107" y="4"/>
                </a:lnTo>
                <a:close/>
              </a:path>
            </a:pathLst>
          </a:custGeom>
          <a:solidFill>
            <a:srgbClr val="00593C"/>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306924" name="Freeform 12">
            <a:extLst>
              <a:ext uri="{FF2B5EF4-FFF2-40B4-BE49-F238E27FC236}">
                <a16:creationId xmlns:a16="http://schemas.microsoft.com/office/drawing/2014/main" id="{13AC12EC-35C3-445D-B0FB-58EDEC4CB05A}"/>
              </a:ext>
            </a:extLst>
          </xdr:cNvPr>
          <xdr:cNvSpPr>
            <a:spLocks noEditPoints="1"/>
          </xdr:cNvSpPr>
        </xdr:nvSpPr>
        <xdr:spPr bwMode="auto">
          <a:xfrm>
            <a:off x="1310" y="1768"/>
            <a:ext cx="87" cy="76"/>
          </a:xfrm>
          <a:custGeom>
            <a:avLst/>
            <a:gdLst>
              <a:gd name="T0" fmla="*/ 0 w 106"/>
              <a:gd name="T1" fmla="*/ 19 h 78"/>
              <a:gd name="T2" fmla="*/ 0 w 106"/>
              <a:gd name="T3" fmla="*/ 19 h 78"/>
              <a:gd name="T4" fmla="*/ 2 w 106"/>
              <a:gd name="T5" fmla="*/ 19 h 78"/>
              <a:gd name="T6" fmla="*/ 2 w 106"/>
              <a:gd name="T7" fmla="*/ 19 h 78"/>
              <a:gd name="T8" fmla="*/ 2 w 106"/>
              <a:gd name="T9" fmla="*/ 19 h 78"/>
              <a:gd name="T10" fmla="*/ 2 w 106"/>
              <a:gd name="T11" fmla="*/ 19 h 78"/>
              <a:gd name="T12" fmla="*/ 2 w 106"/>
              <a:gd name="T13" fmla="*/ 19 h 78"/>
              <a:gd name="T14" fmla="*/ 2 w 106"/>
              <a:gd name="T15" fmla="*/ 19 h 78"/>
              <a:gd name="T16" fmla="*/ 2 w 106"/>
              <a:gd name="T17" fmla="*/ 19 h 78"/>
              <a:gd name="T18" fmla="*/ 2 w 106"/>
              <a:gd name="T19" fmla="*/ 19 h 78"/>
              <a:gd name="T20" fmla="*/ 2 w 106"/>
              <a:gd name="T21" fmla="*/ 19 h 78"/>
              <a:gd name="T22" fmla="*/ 2 w 106"/>
              <a:gd name="T23" fmla="*/ 19 h 78"/>
              <a:gd name="T24" fmla="*/ 2 w 106"/>
              <a:gd name="T25" fmla="*/ 19 h 78"/>
              <a:gd name="T26" fmla="*/ 2 w 106"/>
              <a:gd name="T27" fmla="*/ 19 h 78"/>
              <a:gd name="T28" fmla="*/ 2 w 106"/>
              <a:gd name="T29" fmla="*/ 19 h 78"/>
              <a:gd name="T30" fmla="*/ 2 w 106"/>
              <a:gd name="T31" fmla="*/ 19 h 78"/>
              <a:gd name="T32" fmla="*/ 2 w 106"/>
              <a:gd name="T33" fmla="*/ 19 h 78"/>
              <a:gd name="T34" fmla="*/ 2 w 106"/>
              <a:gd name="T35" fmla="*/ 18 h 78"/>
              <a:gd name="T36" fmla="*/ 2 w 106"/>
              <a:gd name="T37" fmla="*/ 13 h 78"/>
              <a:gd name="T38" fmla="*/ 2 w 106"/>
              <a:gd name="T39" fmla="*/ 8 h 78"/>
              <a:gd name="T40" fmla="*/ 2 w 106"/>
              <a:gd name="T41" fmla="*/ 5 h 78"/>
              <a:gd name="T42" fmla="*/ 2 w 106"/>
              <a:gd name="T43" fmla="*/ 3 h 78"/>
              <a:gd name="T44" fmla="*/ 2 w 106"/>
              <a:gd name="T45" fmla="*/ 1 h 78"/>
              <a:gd name="T46" fmla="*/ 2 w 106"/>
              <a:gd name="T47" fmla="*/ 0 h 78"/>
              <a:gd name="T48" fmla="*/ 2 w 106"/>
              <a:gd name="T49" fmla="*/ 1 h 78"/>
              <a:gd name="T50" fmla="*/ 2 w 106"/>
              <a:gd name="T51" fmla="*/ 4 h 78"/>
              <a:gd name="T52" fmla="*/ 2 w 106"/>
              <a:gd name="T53" fmla="*/ 9 h 78"/>
              <a:gd name="T54" fmla="*/ 2 w 106"/>
              <a:gd name="T55" fmla="*/ 15 h 78"/>
              <a:gd name="T56" fmla="*/ 2 w 106"/>
              <a:gd name="T57" fmla="*/ 19 h 78"/>
              <a:gd name="T58" fmla="*/ 2 w 106"/>
              <a:gd name="T59" fmla="*/ 19 h 78"/>
              <a:gd name="T60" fmla="*/ 2 w 106"/>
              <a:gd name="T61" fmla="*/ 19 h 78"/>
              <a:gd name="T62" fmla="*/ 2 w 106"/>
              <a:gd name="T63" fmla="*/ 19 h 78"/>
              <a:gd name="T64" fmla="*/ 2 w 106"/>
              <a:gd name="T65" fmla="*/ 19 h 78"/>
              <a:gd name="T66" fmla="*/ 2 w 106"/>
              <a:gd name="T67" fmla="*/ 19 h 78"/>
              <a:gd name="T68" fmla="*/ 2 w 106"/>
              <a:gd name="T69" fmla="*/ 19 h 78"/>
              <a:gd name="T70" fmla="*/ 2 w 106"/>
              <a:gd name="T71" fmla="*/ 19 h 78"/>
              <a:gd name="T72" fmla="*/ 2 w 106"/>
              <a:gd name="T73" fmla="*/ 18 h 78"/>
              <a:gd name="T74" fmla="*/ 2 w 106"/>
              <a:gd name="T75" fmla="*/ 14 h 78"/>
              <a:gd name="T76" fmla="*/ 2 w 106"/>
              <a:gd name="T77" fmla="*/ 13 h 78"/>
              <a:gd name="T78" fmla="*/ 2 w 106"/>
              <a:gd name="T79" fmla="*/ 14 h 78"/>
              <a:gd name="T80" fmla="*/ 2 w 106"/>
              <a:gd name="T81" fmla="*/ 17 h 78"/>
              <a:gd name="T82" fmla="*/ 2 w 106"/>
              <a:gd name="T83" fmla="*/ 19 h 78"/>
              <a:gd name="T84" fmla="*/ 2 w 106"/>
              <a:gd name="T85" fmla="*/ 19 h 78"/>
              <a:gd name="T86" fmla="*/ 2 w 106"/>
              <a:gd name="T87" fmla="*/ 19 h 78"/>
              <a:gd name="T88" fmla="*/ 2 w 106"/>
              <a:gd name="T89" fmla="*/ 19 h 78"/>
              <a:gd name="T90" fmla="*/ 2 w 106"/>
              <a:gd name="T91" fmla="*/ 19 h 78"/>
              <a:gd name="T92" fmla="*/ 2 w 106"/>
              <a:gd name="T93" fmla="*/ 19 h 78"/>
              <a:gd name="T94" fmla="*/ 2 w 106"/>
              <a:gd name="T95" fmla="*/ 19 h 78"/>
              <a:gd name="T96" fmla="*/ 2 w 106"/>
              <a:gd name="T97" fmla="*/ 19 h 78"/>
              <a:gd name="T98" fmla="*/ 2 w 106"/>
              <a:gd name="T99" fmla="*/ 19 h 78"/>
              <a:gd name="T100" fmla="*/ 2 w 106"/>
              <a:gd name="T101" fmla="*/ 19 h 78"/>
              <a:gd name="T102" fmla="*/ 2 w 106"/>
              <a:gd name="T103" fmla="*/ 19 h 78"/>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w 106"/>
              <a:gd name="T157" fmla="*/ 0 h 78"/>
              <a:gd name="T158" fmla="*/ 106 w 106"/>
              <a:gd name="T159" fmla="*/ 78 h 78"/>
            </a:gdLst>
            <a:ahLst/>
            <a:cxnLst>
              <a:cxn ang="T104">
                <a:pos x="T0" y="T1"/>
              </a:cxn>
              <a:cxn ang="T105">
                <a:pos x="T2" y="T3"/>
              </a:cxn>
              <a:cxn ang="T106">
                <a:pos x="T4" y="T5"/>
              </a:cxn>
              <a:cxn ang="T107">
                <a:pos x="T6" y="T7"/>
              </a:cxn>
              <a:cxn ang="T108">
                <a:pos x="T8" y="T9"/>
              </a:cxn>
              <a:cxn ang="T109">
                <a:pos x="T10" y="T11"/>
              </a:cxn>
              <a:cxn ang="T110">
                <a:pos x="T12" y="T13"/>
              </a:cxn>
              <a:cxn ang="T111">
                <a:pos x="T14" y="T15"/>
              </a:cxn>
              <a:cxn ang="T112">
                <a:pos x="T16" y="T17"/>
              </a:cxn>
              <a:cxn ang="T113">
                <a:pos x="T18" y="T19"/>
              </a:cxn>
              <a:cxn ang="T114">
                <a:pos x="T20" y="T21"/>
              </a:cxn>
              <a:cxn ang="T115">
                <a:pos x="T22" y="T23"/>
              </a:cxn>
              <a:cxn ang="T116">
                <a:pos x="T24" y="T25"/>
              </a:cxn>
              <a:cxn ang="T117">
                <a:pos x="T26" y="T27"/>
              </a:cxn>
              <a:cxn ang="T118">
                <a:pos x="T28" y="T29"/>
              </a:cxn>
              <a:cxn ang="T119">
                <a:pos x="T30" y="T31"/>
              </a:cxn>
              <a:cxn ang="T120">
                <a:pos x="T32" y="T33"/>
              </a:cxn>
              <a:cxn ang="T121">
                <a:pos x="T34" y="T35"/>
              </a:cxn>
              <a:cxn ang="T122">
                <a:pos x="T36" y="T37"/>
              </a:cxn>
              <a:cxn ang="T123">
                <a:pos x="T38" y="T39"/>
              </a:cxn>
              <a:cxn ang="T124">
                <a:pos x="T40" y="T41"/>
              </a:cxn>
              <a:cxn ang="T125">
                <a:pos x="T42" y="T43"/>
              </a:cxn>
              <a:cxn ang="T126">
                <a:pos x="T44" y="T45"/>
              </a:cxn>
              <a:cxn ang="T127">
                <a:pos x="T46" y="T47"/>
              </a:cxn>
              <a:cxn ang="T128">
                <a:pos x="T48" y="T49"/>
              </a:cxn>
              <a:cxn ang="T129">
                <a:pos x="T50" y="T51"/>
              </a:cxn>
              <a:cxn ang="T130">
                <a:pos x="T52" y="T53"/>
              </a:cxn>
              <a:cxn ang="T131">
                <a:pos x="T54" y="T55"/>
              </a:cxn>
              <a:cxn ang="T132">
                <a:pos x="T56" y="T57"/>
              </a:cxn>
              <a:cxn ang="T133">
                <a:pos x="T58" y="T59"/>
              </a:cxn>
              <a:cxn ang="T134">
                <a:pos x="T60" y="T61"/>
              </a:cxn>
              <a:cxn ang="T135">
                <a:pos x="T62" y="T63"/>
              </a:cxn>
              <a:cxn ang="T136">
                <a:pos x="T64" y="T65"/>
              </a:cxn>
              <a:cxn ang="T137">
                <a:pos x="T66" y="T67"/>
              </a:cxn>
              <a:cxn ang="T138">
                <a:pos x="T68" y="T69"/>
              </a:cxn>
              <a:cxn ang="T139">
                <a:pos x="T70" y="T71"/>
              </a:cxn>
              <a:cxn ang="T140">
                <a:pos x="T72" y="T73"/>
              </a:cxn>
              <a:cxn ang="T141">
                <a:pos x="T74" y="T75"/>
              </a:cxn>
              <a:cxn ang="T142">
                <a:pos x="T76" y="T77"/>
              </a:cxn>
              <a:cxn ang="T143">
                <a:pos x="T78" y="T79"/>
              </a:cxn>
              <a:cxn ang="T144">
                <a:pos x="T80" y="T81"/>
              </a:cxn>
              <a:cxn ang="T145">
                <a:pos x="T82" y="T83"/>
              </a:cxn>
              <a:cxn ang="T146">
                <a:pos x="T84" y="T85"/>
              </a:cxn>
              <a:cxn ang="T147">
                <a:pos x="T86" y="T87"/>
              </a:cxn>
              <a:cxn ang="T148">
                <a:pos x="T88" y="T89"/>
              </a:cxn>
              <a:cxn ang="T149">
                <a:pos x="T90" y="T91"/>
              </a:cxn>
              <a:cxn ang="T150">
                <a:pos x="T92" y="T93"/>
              </a:cxn>
              <a:cxn ang="T151">
                <a:pos x="T94" y="T95"/>
              </a:cxn>
              <a:cxn ang="T152">
                <a:pos x="T96" y="T97"/>
              </a:cxn>
              <a:cxn ang="T153">
                <a:pos x="T98" y="T99"/>
              </a:cxn>
              <a:cxn ang="T154">
                <a:pos x="T100" y="T101"/>
              </a:cxn>
              <a:cxn ang="T155">
                <a:pos x="T102" y="T103"/>
              </a:cxn>
            </a:cxnLst>
            <a:rect l="T156" t="T157" r="T158" b="T159"/>
            <a:pathLst>
              <a:path w="106" h="78">
                <a:moveTo>
                  <a:pt x="2" y="49"/>
                </a:moveTo>
                <a:lnTo>
                  <a:pt x="1" y="51"/>
                </a:lnTo>
                <a:lnTo>
                  <a:pt x="1" y="53"/>
                </a:lnTo>
                <a:lnTo>
                  <a:pt x="0" y="55"/>
                </a:lnTo>
                <a:lnTo>
                  <a:pt x="0" y="56"/>
                </a:lnTo>
                <a:lnTo>
                  <a:pt x="0" y="58"/>
                </a:lnTo>
                <a:lnTo>
                  <a:pt x="0" y="59"/>
                </a:lnTo>
                <a:lnTo>
                  <a:pt x="0" y="61"/>
                </a:lnTo>
                <a:lnTo>
                  <a:pt x="0" y="62"/>
                </a:lnTo>
                <a:lnTo>
                  <a:pt x="1" y="63"/>
                </a:lnTo>
                <a:lnTo>
                  <a:pt x="1" y="65"/>
                </a:lnTo>
                <a:lnTo>
                  <a:pt x="2" y="66"/>
                </a:lnTo>
                <a:lnTo>
                  <a:pt x="2" y="67"/>
                </a:lnTo>
                <a:lnTo>
                  <a:pt x="3" y="68"/>
                </a:lnTo>
                <a:lnTo>
                  <a:pt x="4" y="69"/>
                </a:lnTo>
                <a:lnTo>
                  <a:pt x="5" y="70"/>
                </a:lnTo>
                <a:lnTo>
                  <a:pt x="6" y="71"/>
                </a:lnTo>
                <a:lnTo>
                  <a:pt x="7" y="72"/>
                </a:lnTo>
                <a:lnTo>
                  <a:pt x="8" y="73"/>
                </a:lnTo>
                <a:lnTo>
                  <a:pt x="9" y="74"/>
                </a:lnTo>
                <a:lnTo>
                  <a:pt x="10" y="74"/>
                </a:lnTo>
                <a:lnTo>
                  <a:pt x="11" y="75"/>
                </a:lnTo>
                <a:lnTo>
                  <a:pt x="13" y="76"/>
                </a:lnTo>
                <a:lnTo>
                  <a:pt x="14" y="76"/>
                </a:lnTo>
                <a:lnTo>
                  <a:pt x="16" y="77"/>
                </a:lnTo>
                <a:lnTo>
                  <a:pt x="17" y="77"/>
                </a:lnTo>
                <a:lnTo>
                  <a:pt x="19" y="77"/>
                </a:lnTo>
                <a:lnTo>
                  <a:pt x="20" y="78"/>
                </a:lnTo>
                <a:lnTo>
                  <a:pt x="22" y="78"/>
                </a:lnTo>
                <a:lnTo>
                  <a:pt x="24" y="78"/>
                </a:lnTo>
                <a:lnTo>
                  <a:pt x="26" y="78"/>
                </a:lnTo>
                <a:lnTo>
                  <a:pt x="28" y="78"/>
                </a:lnTo>
                <a:lnTo>
                  <a:pt x="29" y="78"/>
                </a:lnTo>
                <a:lnTo>
                  <a:pt x="33" y="78"/>
                </a:lnTo>
                <a:lnTo>
                  <a:pt x="37" y="78"/>
                </a:lnTo>
                <a:lnTo>
                  <a:pt x="40" y="78"/>
                </a:lnTo>
                <a:lnTo>
                  <a:pt x="44" y="77"/>
                </a:lnTo>
                <a:lnTo>
                  <a:pt x="47" y="76"/>
                </a:lnTo>
                <a:lnTo>
                  <a:pt x="51" y="75"/>
                </a:lnTo>
                <a:lnTo>
                  <a:pt x="54" y="74"/>
                </a:lnTo>
                <a:lnTo>
                  <a:pt x="57" y="73"/>
                </a:lnTo>
                <a:lnTo>
                  <a:pt x="60" y="72"/>
                </a:lnTo>
                <a:lnTo>
                  <a:pt x="63" y="71"/>
                </a:lnTo>
                <a:lnTo>
                  <a:pt x="66" y="69"/>
                </a:lnTo>
                <a:lnTo>
                  <a:pt x="69" y="68"/>
                </a:lnTo>
                <a:lnTo>
                  <a:pt x="72" y="66"/>
                </a:lnTo>
                <a:lnTo>
                  <a:pt x="74" y="64"/>
                </a:lnTo>
                <a:lnTo>
                  <a:pt x="77" y="63"/>
                </a:lnTo>
                <a:lnTo>
                  <a:pt x="79" y="61"/>
                </a:lnTo>
                <a:lnTo>
                  <a:pt x="82" y="59"/>
                </a:lnTo>
                <a:lnTo>
                  <a:pt x="84" y="57"/>
                </a:lnTo>
                <a:lnTo>
                  <a:pt x="86" y="55"/>
                </a:lnTo>
                <a:lnTo>
                  <a:pt x="88" y="53"/>
                </a:lnTo>
                <a:lnTo>
                  <a:pt x="90" y="51"/>
                </a:lnTo>
                <a:lnTo>
                  <a:pt x="92" y="49"/>
                </a:lnTo>
                <a:lnTo>
                  <a:pt x="93" y="47"/>
                </a:lnTo>
                <a:lnTo>
                  <a:pt x="95" y="45"/>
                </a:lnTo>
                <a:lnTo>
                  <a:pt x="97" y="42"/>
                </a:lnTo>
                <a:lnTo>
                  <a:pt x="98" y="40"/>
                </a:lnTo>
                <a:lnTo>
                  <a:pt x="99" y="38"/>
                </a:lnTo>
                <a:lnTo>
                  <a:pt x="100" y="36"/>
                </a:lnTo>
                <a:lnTo>
                  <a:pt x="102" y="34"/>
                </a:lnTo>
                <a:lnTo>
                  <a:pt x="102" y="32"/>
                </a:lnTo>
                <a:lnTo>
                  <a:pt x="103" y="30"/>
                </a:lnTo>
                <a:lnTo>
                  <a:pt x="104" y="28"/>
                </a:lnTo>
                <a:lnTo>
                  <a:pt x="104" y="27"/>
                </a:lnTo>
                <a:lnTo>
                  <a:pt x="105" y="25"/>
                </a:lnTo>
                <a:lnTo>
                  <a:pt x="105" y="24"/>
                </a:lnTo>
                <a:lnTo>
                  <a:pt x="105" y="22"/>
                </a:lnTo>
                <a:lnTo>
                  <a:pt x="106" y="20"/>
                </a:lnTo>
                <a:lnTo>
                  <a:pt x="106" y="19"/>
                </a:lnTo>
                <a:lnTo>
                  <a:pt x="105" y="18"/>
                </a:lnTo>
                <a:lnTo>
                  <a:pt x="105" y="16"/>
                </a:lnTo>
                <a:lnTo>
                  <a:pt x="105" y="15"/>
                </a:lnTo>
                <a:lnTo>
                  <a:pt x="105" y="14"/>
                </a:lnTo>
                <a:lnTo>
                  <a:pt x="104" y="13"/>
                </a:lnTo>
                <a:lnTo>
                  <a:pt x="104" y="12"/>
                </a:lnTo>
                <a:lnTo>
                  <a:pt x="103" y="10"/>
                </a:lnTo>
                <a:lnTo>
                  <a:pt x="102" y="9"/>
                </a:lnTo>
                <a:lnTo>
                  <a:pt x="101" y="8"/>
                </a:lnTo>
                <a:lnTo>
                  <a:pt x="100" y="8"/>
                </a:lnTo>
                <a:lnTo>
                  <a:pt x="99" y="7"/>
                </a:lnTo>
                <a:lnTo>
                  <a:pt x="98" y="6"/>
                </a:lnTo>
                <a:lnTo>
                  <a:pt x="97" y="5"/>
                </a:lnTo>
                <a:lnTo>
                  <a:pt x="96" y="4"/>
                </a:lnTo>
                <a:lnTo>
                  <a:pt x="95" y="4"/>
                </a:lnTo>
                <a:lnTo>
                  <a:pt x="93" y="3"/>
                </a:lnTo>
                <a:lnTo>
                  <a:pt x="92" y="3"/>
                </a:lnTo>
                <a:lnTo>
                  <a:pt x="90" y="2"/>
                </a:lnTo>
                <a:lnTo>
                  <a:pt x="89" y="2"/>
                </a:lnTo>
                <a:lnTo>
                  <a:pt x="87" y="1"/>
                </a:lnTo>
                <a:lnTo>
                  <a:pt x="85" y="1"/>
                </a:lnTo>
                <a:lnTo>
                  <a:pt x="84" y="1"/>
                </a:lnTo>
                <a:lnTo>
                  <a:pt x="82" y="1"/>
                </a:lnTo>
                <a:lnTo>
                  <a:pt x="80" y="1"/>
                </a:lnTo>
                <a:lnTo>
                  <a:pt x="78" y="0"/>
                </a:lnTo>
                <a:lnTo>
                  <a:pt x="76" y="0"/>
                </a:lnTo>
                <a:lnTo>
                  <a:pt x="73" y="1"/>
                </a:lnTo>
                <a:lnTo>
                  <a:pt x="69" y="1"/>
                </a:lnTo>
                <a:lnTo>
                  <a:pt x="66" y="1"/>
                </a:lnTo>
                <a:lnTo>
                  <a:pt x="62" y="2"/>
                </a:lnTo>
                <a:lnTo>
                  <a:pt x="59" y="2"/>
                </a:lnTo>
                <a:lnTo>
                  <a:pt x="56" y="3"/>
                </a:lnTo>
                <a:lnTo>
                  <a:pt x="53" y="4"/>
                </a:lnTo>
                <a:lnTo>
                  <a:pt x="49" y="5"/>
                </a:lnTo>
                <a:lnTo>
                  <a:pt x="46" y="6"/>
                </a:lnTo>
                <a:lnTo>
                  <a:pt x="43" y="8"/>
                </a:lnTo>
                <a:lnTo>
                  <a:pt x="41" y="9"/>
                </a:lnTo>
                <a:lnTo>
                  <a:pt x="38" y="10"/>
                </a:lnTo>
                <a:lnTo>
                  <a:pt x="35" y="12"/>
                </a:lnTo>
                <a:lnTo>
                  <a:pt x="32" y="14"/>
                </a:lnTo>
                <a:lnTo>
                  <a:pt x="30" y="15"/>
                </a:lnTo>
                <a:lnTo>
                  <a:pt x="27" y="17"/>
                </a:lnTo>
                <a:lnTo>
                  <a:pt x="25" y="19"/>
                </a:lnTo>
                <a:lnTo>
                  <a:pt x="23" y="21"/>
                </a:lnTo>
                <a:lnTo>
                  <a:pt x="20" y="23"/>
                </a:lnTo>
                <a:lnTo>
                  <a:pt x="18" y="25"/>
                </a:lnTo>
                <a:lnTo>
                  <a:pt x="16" y="27"/>
                </a:lnTo>
                <a:lnTo>
                  <a:pt x="14" y="29"/>
                </a:lnTo>
                <a:lnTo>
                  <a:pt x="13" y="31"/>
                </a:lnTo>
                <a:lnTo>
                  <a:pt x="11" y="33"/>
                </a:lnTo>
                <a:lnTo>
                  <a:pt x="9" y="35"/>
                </a:lnTo>
                <a:lnTo>
                  <a:pt x="8" y="37"/>
                </a:lnTo>
                <a:lnTo>
                  <a:pt x="7" y="39"/>
                </a:lnTo>
                <a:lnTo>
                  <a:pt x="5" y="41"/>
                </a:lnTo>
                <a:lnTo>
                  <a:pt x="4" y="43"/>
                </a:lnTo>
                <a:lnTo>
                  <a:pt x="3" y="45"/>
                </a:lnTo>
                <a:lnTo>
                  <a:pt x="3" y="47"/>
                </a:lnTo>
                <a:lnTo>
                  <a:pt x="2" y="49"/>
                </a:lnTo>
                <a:close/>
                <a:moveTo>
                  <a:pt x="33" y="58"/>
                </a:moveTo>
                <a:lnTo>
                  <a:pt x="33" y="56"/>
                </a:lnTo>
                <a:lnTo>
                  <a:pt x="35" y="53"/>
                </a:lnTo>
                <a:lnTo>
                  <a:pt x="36" y="50"/>
                </a:lnTo>
                <a:lnTo>
                  <a:pt x="38" y="46"/>
                </a:lnTo>
                <a:lnTo>
                  <a:pt x="40" y="43"/>
                </a:lnTo>
                <a:lnTo>
                  <a:pt x="42" y="39"/>
                </a:lnTo>
                <a:lnTo>
                  <a:pt x="44" y="35"/>
                </a:lnTo>
                <a:lnTo>
                  <a:pt x="47" y="32"/>
                </a:lnTo>
                <a:lnTo>
                  <a:pt x="48" y="30"/>
                </a:lnTo>
                <a:lnTo>
                  <a:pt x="50" y="28"/>
                </a:lnTo>
                <a:lnTo>
                  <a:pt x="51" y="26"/>
                </a:lnTo>
                <a:lnTo>
                  <a:pt x="52" y="25"/>
                </a:lnTo>
                <a:lnTo>
                  <a:pt x="54" y="23"/>
                </a:lnTo>
                <a:lnTo>
                  <a:pt x="55" y="21"/>
                </a:lnTo>
                <a:lnTo>
                  <a:pt x="56" y="20"/>
                </a:lnTo>
                <a:lnTo>
                  <a:pt x="58" y="19"/>
                </a:lnTo>
                <a:lnTo>
                  <a:pt x="59" y="18"/>
                </a:lnTo>
                <a:lnTo>
                  <a:pt x="61" y="16"/>
                </a:lnTo>
                <a:lnTo>
                  <a:pt x="62" y="16"/>
                </a:lnTo>
                <a:lnTo>
                  <a:pt x="63" y="15"/>
                </a:lnTo>
                <a:lnTo>
                  <a:pt x="65" y="14"/>
                </a:lnTo>
                <a:lnTo>
                  <a:pt x="66" y="14"/>
                </a:lnTo>
                <a:lnTo>
                  <a:pt x="67" y="13"/>
                </a:lnTo>
                <a:lnTo>
                  <a:pt x="69" y="13"/>
                </a:lnTo>
                <a:lnTo>
                  <a:pt x="70" y="13"/>
                </a:lnTo>
                <a:lnTo>
                  <a:pt x="71" y="14"/>
                </a:lnTo>
                <a:lnTo>
                  <a:pt x="72" y="14"/>
                </a:lnTo>
                <a:lnTo>
                  <a:pt x="73" y="15"/>
                </a:lnTo>
                <a:lnTo>
                  <a:pt x="73" y="16"/>
                </a:lnTo>
                <a:lnTo>
                  <a:pt x="73" y="17"/>
                </a:lnTo>
                <a:lnTo>
                  <a:pt x="73" y="18"/>
                </a:lnTo>
                <a:lnTo>
                  <a:pt x="73" y="19"/>
                </a:lnTo>
                <a:lnTo>
                  <a:pt x="73" y="20"/>
                </a:lnTo>
                <a:lnTo>
                  <a:pt x="72" y="21"/>
                </a:lnTo>
                <a:lnTo>
                  <a:pt x="72" y="23"/>
                </a:lnTo>
                <a:lnTo>
                  <a:pt x="71" y="25"/>
                </a:lnTo>
                <a:lnTo>
                  <a:pt x="69" y="28"/>
                </a:lnTo>
                <a:lnTo>
                  <a:pt x="68" y="31"/>
                </a:lnTo>
                <a:lnTo>
                  <a:pt x="66" y="34"/>
                </a:lnTo>
                <a:lnTo>
                  <a:pt x="64" y="38"/>
                </a:lnTo>
                <a:lnTo>
                  <a:pt x="61" y="42"/>
                </a:lnTo>
                <a:lnTo>
                  <a:pt x="59" y="46"/>
                </a:lnTo>
                <a:lnTo>
                  <a:pt x="58" y="48"/>
                </a:lnTo>
                <a:lnTo>
                  <a:pt x="56" y="50"/>
                </a:lnTo>
                <a:lnTo>
                  <a:pt x="55" y="51"/>
                </a:lnTo>
                <a:lnTo>
                  <a:pt x="53" y="53"/>
                </a:lnTo>
                <a:lnTo>
                  <a:pt x="52" y="55"/>
                </a:lnTo>
                <a:lnTo>
                  <a:pt x="51" y="57"/>
                </a:lnTo>
                <a:lnTo>
                  <a:pt x="49" y="58"/>
                </a:lnTo>
                <a:lnTo>
                  <a:pt x="48" y="59"/>
                </a:lnTo>
                <a:lnTo>
                  <a:pt x="46" y="61"/>
                </a:lnTo>
                <a:lnTo>
                  <a:pt x="45" y="62"/>
                </a:lnTo>
                <a:lnTo>
                  <a:pt x="44" y="63"/>
                </a:lnTo>
                <a:lnTo>
                  <a:pt x="42" y="64"/>
                </a:lnTo>
                <a:lnTo>
                  <a:pt x="41" y="65"/>
                </a:lnTo>
                <a:lnTo>
                  <a:pt x="40" y="65"/>
                </a:lnTo>
                <a:lnTo>
                  <a:pt x="38" y="65"/>
                </a:lnTo>
                <a:lnTo>
                  <a:pt x="37" y="65"/>
                </a:lnTo>
                <a:lnTo>
                  <a:pt x="36" y="65"/>
                </a:lnTo>
                <a:lnTo>
                  <a:pt x="35" y="65"/>
                </a:lnTo>
                <a:lnTo>
                  <a:pt x="34" y="65"/>
                </a:lnTo>
                <a:lnTo>
                  <a:pt x="34" y="64"/>
                </a:lnTo>
                <a:lnTo>
                  <a:pt x="33" y="64"/>
                </a:lnTo>
                <a:lnTo>
                  <a:pt x="32" y="63"/>
                </a:lnTo>
                <a:lnTo>
                  <a:pt x="32" y="62"/>
                </a:lnTo>
                <a:lnTo>
                  <a:pt x="32" y="61"/>
                </a:lnTo>
                <a:lnTo>
                  <a:pt x="32" y="60"/>
                </a:lnTo>
                <a:lnTo>
                  <a:pt x="32" y="59"/>
                </a:lnTo>
                <a:lnTo>
                  <a:pt x="33" y="58"/>
                </a:lnTo>
                <a:close/>
              </a:path>
            </a:pathLst>
          </a:custGeom>
          <a:solidFill>
            <a:srgbClr val="00593C"/>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306925" name="Freeform 13">
            <a:extLst>
              <a:ext uri="{FF2B5EF4-FFF2-40B4-BE49-F238E27FC236}">
                <a16:creationId xmlns:a16="http://schemas.microsoft.com/office/drawing/2014/main" id="{86B73E57-E2F5-4718-838C-6A52F8877BC5}"/>
              </a:ext>
            </a:extLst>
          </xdr:cNvPr>
          <xdr:cNvSpPr>
            <a:spLocks/>
          </xdr:cNvSpPr>
        </xdr:nvSpPr>
        <xdr:spPr bwMode="auto">
          <a:xfrm>
            <a:off x="1388" y="1735"/>
            <a:ext cx="80" cy="108"/>
          </a:xfrm>
          <a:custGeom>
            <a:avLst/>
            <a:gdLst>
              <a:gd name="T0" fmla="*/ 2 w 99"/>
              <a:gd name="T1" fmla="*/ 0 h 110"/>
              <a:gd name="T2" fmla="*/ 0 w 99"/>
              <a:gd name="T3" fmla="*/ 27 h 110"/>
              <a:gd name="T4" fmla="*/ 2 w 99"/>
              <a:gd name="T5" fmla="*/ 27 h 110"/>
              <a:gd name="T6" fmla="*/ 2 w 99"/>
              <a:gd name="T7" fmla="*/ 0 h 110"/>
              <a:gd name="T8" fmla="*/ 2 w 99"/>
              <a:gd name="T9" fmla="*/ 0 h 110"/>
              <a:gd name="T10" fmla="*/ 0 60000 65536"/>
              <a:gd name="T11" fmla="*/ 0 60000 65536"/>
              <a:gd name="T12" fmla="*/ 0 60000 65536"/>
              <a:gd name="T13" fmla="*/ 0 60000 65536"/>
              <a:gd name="T14" fmla="*/ 0 60000 65536"/>
              <a:gd name="T15" fmla="*/ 0 w 99"/>
              <a:gd name="T16" fmla="*/ 0 h 110"/>
              <a:gd name="T17" fmla="*/ 99 w 99"/>
              <a:gd name="T18" fmla="*/ 110 h 110"/>
            </a:gdLst>
            <a:ahLst/>
            <a:cxnLst>
              <a:cxn ang="T10">
                <a:pos x="T0" y="T1"/>
              </a:cxn>
              <a:cxn ang="T11">
                <a:pos x="T2" y="T3"/>
              </a:cxn>
              <a:cxn ang="T12">
                <a:pos x="T4" y="T5"/>
              </a:cxn>
              <a:cxn ang="T13">
                <a:pos x="T6" y="T7"/>
              </a:cxn>
              <a:cxn ang="T14">
                <a:pos x="T8" y="T9"/>
              </a:cxn>
            </a:cxnLst>
            <a:rect l="T15" t="T16" r="T17" b="T18"/>
            <a:pathLst>
              <a:path w="99" h="110">
                <a:moveTo>
                  <a:pt x="66" y="0"/>
                </a:moveTo>
                <a:lnTo>
                  <a:pt x="0" y="110"/>
                </a:lnTo>
                <a:lnTo>
                  <a:pt x="33" y="110"/>
                </a:lnTo>
                <a:lnTo>
                  <a:pt x="99" y="0"/>
                </a:lnTo>
                <a:lnTo>
                  <a:pt x="66" y="0"/>
                </a:lnTo>
                <a:close/>
              </a:path>
            </a:pathLst>
          </a:custGeom>
          <a:solidFill>
            <a:srgbClr val="00593C"/>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306926" name="Freeform 14">
            <a:extLst>
              <a:ext uri="{FF2B5EF4-FFF2-40B4-BE49-F238E27FC236}">
                <a16:creationId xmlns:a16="http://schemas.microsoft.com/office/drawing/2014/main" id="{A7BE1766-98D4-4AF9-B594-FFBA4E07B433}"/>
              </a:ext>
            </a:extLst>
          </xdr:cNvPr>
          <xdr:cNvSpPr>
            <a:spLocks noEditPoints="1"/>
          </xdr:cNvSpPr>
        </xdr:nvSpPr>
        <xdr:spPr bwMode="auto">
          <a:xfrm>
            <a:off x="1440" y="1768"/>
            <a:ext cx="98" cy="76"/>
          </a:xfrm>
          <a:custGeom>
            <a:avLst/>
            <a:gdLst>
              <a:gd name="T0" fmla="*/ 2 w 121"/>
              <a:gd name="T1" fmla="*/ 4 h 78"/>
              <a:gd name="T2" fmla="*/ 2 w 121"/>
              <a:gd name="T3" fmla="*/ 2 h 78"/>
              <a:gd name="T4" fmla="*/ 2 w 121"/>
              <a:gd name="T5" fmla="*/ 1 h 78"/>
              <a:gd name="T6" fmla="*/ 2 w 121"/>
              <a:gd name="T7" fmla="*/ 0 h 78"/>
              <a:gd name="T8" fmla="*/ 2 w 121"/>
              <a:gd name="T9" fmla="*/ 1 h 78"/>
              <a:gd name="T10" fmla="*/ 2 w 121"/>
              <a:gd name="T11" fmla="*/ 3 h 78"/>
              <a:gd name="T12" fmla="*/ 2 w 121"/>
              <a:gd name="T13" fmla="*/ 6 h 78"/>
              <a:gd name="T14" fmla="*/ 2 w 121"/>
              <a:gd name="T15" fmla="*/ 11 h 78"/>
              <a:gd name="T16" fmla="*/ 2 w 121"/>
              <a:gd name="T17" fmla="*/ 17 h 78"/>
              <a:gd name="T18" fmla="*/ 2 w 121"/>
              <a:gd name="T19" fmla="*/ 19 h 78"/>
              <a:gd name="T20" fmla="*/ 2 w 121"/>
              <a:gd name="T21" fmla="*/ 19 h 78"/>
              <a:gd name="T22" fmla="*/ 2 w 121"/>
              <a:gd name="T23" fmla="*/ 19 h 78"/>
              <a:gd name="T24" fmla="*/ 2 w 121"/>
              <a:gd name="T25" fmla="*/ 19 h 78"/>
              <a:gd name="T26" fmla="*/ 2 w 121"/>
              <a:gd name="T27" fmla="*/ 19 h 78"/>
              <a:gd name="T28" fmla="*/ 1 w 121"/>
              <a:gd name="T29" fmla="*/ 19 h 78"/>
              <a:gd name="T30" fmla="*/ 0 w 121"/>
              <a:gd name="T31" fmla="*/ 19 h 78"/>
              <a:gd name="T32" fmla="*/ 0 w 121"/>
              <a:gd name="T33" fmla="*/ 19 h 78"/>
              <a:gd name="T34" fmla="*/ 1 w 121"/>
              <a:gd name="T35" fmla="*/ 19 h 78"/>
              <a:gd name="T36" fmla="*/ 2 w 121"/>
              <a:gd name="T37" fmla="*/ 19 h 78"/>
              <a:gd name="T38" fmla="*/ 2 w 121"/>
              <a:gd name="T39" fmla="*/ 19 h 78"/>
              <a:gd name="T40" fmla="*/ 2 w 121"/>
              <a:gd name="T41" fmla="*/ 19 h 78"/>
              <a:gd name="T42" fmla="*/ 2 w 121"/>
              <a:gd name="T43" fmla="*/ 19 h 78"/>
              <a:gd name="T44" fmla="*/ 2 w 121"/>
              <a:gd name="T45" fmla="*/ 19 h 78"/>
              <a:gd name="T46" fmla="*/ 2 w 121"/>
              <a:gd name="T47" fmla="*/ 19 h 78"/>
              <a:gd name="T48" fmla="*/ 2 w 121"/>
              <a:gd name="T49" fmla="*/ 19 h 78"/>
              <a:gd name="T50" fmla="*/ 2 w 121"/>
              <a:gd name="T51" fmla="*/ 19 h 78"/>
              <a:gd name="T52" fmla="*/ 2 w 121"/>
              <a:gd name="T53" fmla="*/ 19 h 78"/>
              <a:gd name="T54" fmla="*/ 2 w 121"/>
              <a:gd name="T55" fmla="*/ 19 h 78"/>
              <a:gd name="T56" fmla="*/ 2 w 121"/>
              <a:gd name="T57" fmla="*/ 19 h 78"/>
              <a:gd name="T58" fmla="*/ 2 w 121"/>
              <a:gd name="T59" fmla="*/ 19 h 78"/>
              <a:gd name="T60" fmla="*/ 2 w 121"/>
              <a:gd name="T61" fmla="*/ 19 h 78"/>
              <a:gd name="T62" fmla="*/ 2 w 121"/>
              <a:gd name="T63" fmla="*/ 19 h 78"/>
              <a:gd name="T64" fmla="*/ 2 w 121"/>
              <a:gd name="T65" fmla="*/ 19 h 78"/>
              <a:gd name="T66" fmla="*/ 2 w 121"/>
              <a:gd name="T67" fmla="*/ 19 h 78"/>
              <a:gd name="T68" fmla="*/ 2 w 121"/>
              <a:gd name="T69" fmla="*/ 19 h 78"/>
              <a:gd name="T70" fmla="*/ 2 w 121"/>
              <a:gd name="T71" fmla="*/ 19 h 78"/>
              <a:gd name="T72" fmla="*/ 2 w 121"/>
              <a:gd name="T73" fmla="*/ 19 h 78"/>
              <a:gd name="T74" fmla="*/ 2 w 121"/>
              <a:gd name="T75" fmla="*/ 19 h 78"/>
              <a:gd name="T76" fmla="*/ 2 w 121"/>
              <a:gd name="T77" fmla="*/ 19 h 78"/>
              <a:gd name="T78" fmla="*/ 2 w 121"/>
              <a:gd name="T79" fmla="*/ 19 h 78"/>
              <a:gd name="T80" fmla="*/ 2 w 121"/>
              <a:gd name="T81" fmla="*/ 19 h 78"/>
              <a:gd name="T82" fmla="*/ 2 w 121"/>
              <a:gd name="T83" fmla="*/ 17 h 78"/>
              <a:gd name="T84" fmla="*/ 2 w 121"/>
              <a:gd name="T85" fmla="*/ 15 h 78"/>
              <a:gd name="T86" fmla="*/ 2 w 121"/>
              <a:gd name="T87" fmla="*/ 14 h 78"/>
              <a:gd name="T88" fmla="*/ 2 w 121"/>
              <a:gd name="T89" fmla="*/ 14 h 78"/>
              <a:gd name="T90" fmla="*/ 2 w 121"/>
              <a:gd name="T91" fmla="*/ 18 h 78"/>
              <a:gd name="T92" fmla="*/ 2 w 121"/>
              <a:gd name="T93" fmla="*/ 19 h 78"/>
              <a:gd name="T94" fmla="*/ 2 w 121"/>
              <a:gd name="T95" fmla="*/ 19 h 78"/>
              <a:gd name="T96" fmla="*/ 2 w 121"/>
              <a:gd name="T97" fmla="*/ 19 h 78"/>
              <a:gd name="T98" fmla="*/ 2 w 121"/>
              <a:gd name="T99" fmla="*/ 19 h 78"/>
              <a:gd name="T100" fmla="*/ 2 w 121"/>
              <a:gd name="T101" fmla="*/ 19 h 78"/>
              <a:gd name="T102" fmla="*/ 2 w 121"/>
              <a:gd name="T103" fmla="*/ 19 h 78"/>
              <a:gd name="T104" fmla="*/ 2 w 121"/>
              <a:gd name="T105" fmla="*/ 19 h 78"/>
              <a:gd name="T106" fmla="*/ 2 w 121"/>
              <a:gd name="T107" fmla="*/ 19 h 78"/>
              <a:gd name="T108" fmla="*/ 2 w 121"/>
              <a:gd name="T109" fmla="*/ 19 h 78"/>
              <a:gd name="T110" fmla="*/ 2 w 121"/>
              <a:gd name="T111" fmla="*/ 19 h 78"/>
              <a:gd name="T112" fmla="*/ 2 w 121"/>
              <a:gd name="T113" fmla="*/ 19 h 78"/>
              <a:gd name="T114" fmla="*/ 2 w 121"/>
              <a:gd name="T115" fmla="*/ 19 h 78"/>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w 121"/>
              <a:gd name="T175" fmla="*/ 0 h 78"/>
              <a:gd name="T176" fmla="*/ 121 w 121"/>
              <a:gd name="T177" fmla="*/ 78 h 78"/>
            </a:gdLst>
            <a:ahLst/>
            <a:cxnLst>
              <a:cxn ang="T116">
                <a:pos x="T0" y="T1"/>
              </a:cxn>
              <a:cxn ang="T117">
                <a:pos x="T2" y="T3"/>
              </a:cxn>
              <a:cxn ang="T118">
                <a:pos x="T4" y="T5"/>
              </a:cxn>
              <a:cxn ang="T119">
                <a:pos x="T6" y="T7"/>
              </a:cxn>
              <a:cxn ang="T120">
                <a:pos x="T8" y="T9"/>
              </a:cxn>
              <a:cxn ang="T121">
                <a:pos x="T10" y="T11"/>
              </a:cxn>
              <a:cxn ang="T122">
                <a:pos x="T12" y="T13"/>
              </a:cxn>
              <a:cxn ang="T123">
                <a:pos x="T14" y="T15"/>
              </a:cxn>
              <a:cxn ang="T124">
                <a:pos x="T16" y="T17"/>
              </a:cxn>
              <a:cxn ang="T125">
                <a:pos x="T18" y="T19"/>
              </a:cxn>
              <a:cxn ang="T126">
                <a:pos x="T20" y="T21"/>
              </a:cxn>
              <a:cxn ang="T127">
                <a:pos x="T22" y="T23"/>
              </a:cxn>
              <a:cxn ang="T128">
                <a:pos x="T24" y="T25"/>
              </a:cxn>
              <a:cxn ang="T129">
                <a:pos x="T26" y="T27"/>
              </a:cxn>
              <a:cxn ang="T130">
                <a:pos x="T28" y="T29"/>
              </a:cxn>
              <a:cxn ang="T131">
                <a:pos x="T30" y="T31"/>
              </a:cxn>
              <a:cxn ang="T132">
                <a:pos x="T32" y="T33"/>
              </a:cxn>
              <a:cxn ang="T133">
                <a:pos x="T34" y="T35"/>
              </a:cxn>
              <a:cxn ang="T134">
                <a:pos x="T36" y="T37"/>
              </a:cxn>
              <a:cxn ang="T135">
                <a:pos x="T38" y="T39"/>
              </a:cxn>
              <a:cxn ang="T136">
                <a:pos x="T40" y="T41"/>
              </a:cxn>
              <a:cxn ang="T137">
                <a:pos x="T42" y="T43"/>
              </a:cxn>
              <a:cxn ang="T138">
                <a:pos x="T44" y="T45"/>
              </a:cxn>
              <a:cxn ang="T139">
                <a:pos x="T46" y="T47"/>
              </a:cxn>
              <a:cxn ang="T140">
                <a:pos x="T48" y="T49"/>
              </a:cxn>
              <a:cxn ang="T141">
                <a:pos x="T50" y="T51"/>
              </a:cxn>
              <a:cxn ang="T142">
                <a:pos x="T52" y="T53"/>
              </a:cxn>
              <a:cxn ang="T143">
                <a:pos x="T54" y="T55"/>
              </a:cxn>
              <a:cxn ang="T144">
                <a:pos x="T56" y="T57"/>
              </a:cxn>
              <a:cxn ang="T145">
                <a:pos x="T58" y="T59"/>
              </a:cxn>
              <a:cxn ang="T146">
                <a:pos x="T60" y="T61"/>
              </a:cxn>
              <a:cxn ang="T147">
                <a:pos x="T62" y="T63"/>
              </a:cxn>
              <a:cxn ang="T148">
                <a:pos x="T64" y="T65"/>
              </a:cxn>
              <a:cxn ang="T149">
                <a:pos x="T66" y="T67"/>
              </a:cxn>
              <a:cxn ang="T150">
                <a:pos x="T68" y="T69"/>
              </a:cxn>
              <a:cxn ang="T151">
                <a:pos x="T70" y="T71"/>
              </a:cxn>
              <a:cxn ang="T152">
                <a:pos x="T72" y="T73"/>
              </a:cxn>
              <a:cxn ang="T153">
                <a:pos x="T74" y="T75"/>
              </a:cxn>
              <a:cxn ang="T154">
                <a:pos x="T76" y="T77"/>
              </a:cxn>
              <a:cxn ang="T155">
                <a:pos x="T78" y="T79"/>
              </a:cxn>
              <a:cxn ang="T156">
                <a:pos x="T80" y="T81"/>
              </a:cxn>
              <a:cxn ang="T157">
                <a:pos x="T82" y="T83"/>
              </a:cxn>
              <a:cxn ang="T158">
                <a:pos x="T84" y="T85"/>
              </a:cxn>
              <a:cxn ang="T159">
                <a:pos x="T86" y="T87"/>
              </a:cxn>
              <a:cxn ang="T160">
                <a:pos x="T88" y="T89"/>
              </a:cxn>
              <a:cxn ang="T161">
                <a:pos x="T90" y="T91"/>
              </a:cxn>
              <a:cxn ang="T162">
                <a:pos x="T92" y="T93"/>
              </a:cxn>
              <a:cxn ang="T163">
                <a:pos x="T94" y="T95"/>
              </a:cxn>
              <a:cxn ang="T164">
                <a:pos x="T96" y="T97"/>
              </a:cxn>
              <a:cxn ang="T165">
                <a:pos x="T98" y="T99"/>
              </a:cxn>
              <a:cxn ang="T166">
                <a:pos x="T100" y="T101"/>
              </a:cxn>
              <a:cxn ang="T167">
                <a:pos x="T102" y="T103"/>
              </a:cxn>
              <a:cxn ang="T168">
                <a:pos x="T104" y="T105"/>
              </a:cxn>
              <a:cxn ang="T169">
                <a:pos x="T106" y="T107"/>
              </a:cxn>
              <a:cxn ang="T170">
                <a:pos x="T108" y="T109"/>
              </a:cxn>
              <a:cxn ang="T171">
                <a:pos x="T110" y="T111"/>
              </a:cxn>
              <a:cxn ang="T172">
                <a:pos x="T112" y="T113"/>
              </a:cxn>
              <a:cxn ang="T173">
                <a:pos x="T114" y="T115"/>
              </a:cxn>
            </a:cxnLst>
            <a:rect l="T174" t="T175" r="T176" b="T177"/>
            <a:pathLst>
              <a:path w="121" h="78">
                <a:moveTo>
                  <a:pt x="121" y="6"/>
                </a:moveTo>
                <a:lnTo>
                  <a:pt x="118" y="5"/>
                </a:lnTo>
                <a:lnTo>
                  <a:pt x="116" y="4"/>
                </a:lnTo>
                <a:lnTo>
                  <a:pt x="113" y="3"/>
                </a:lnTo>
                <a:lnTo>
                  <a:pt x="109" y="3"/>
                </a:lnTo>
                <a:lnTo>
                  <a:pt x="107" y="2"/>
                </a:lnTo>
                <a:lnTo>
                  <a:pt x="105" y="2"/>
                </a:lnTo>
                <a:lnTo>
                  <a:pt x="102" y="1"/>
                </a:lnTo>
                <a:lnTo>
                  <a:pt x="100" y="1"/>
                </a:lnTo>
                <a:lnTo>
                  <a:pt x="97" y="1"/>
                </a:lnTo>
                <a:lnTo>
                  <a:pt x="95" y="1"/>
                </a:lnTo>
                <a:lnTo>
                  <a:pt x="92" y="0"/>
                </a:lnTo>
                <a:lnTo>
                  <a:pt x="89" y="0"/>
                </a:lnTo>
                <a:lnTo>
                  <a:pt x="84" y="1"/>
                </a:lnTo>
                <a:lnTo>
                  <a:pt x="80" y="1"/>
                </a:lnTo>
                <a:lnTo>
                  <a:pt x="76" y="1"/>
                </a:lnTo>
                <a:lnTo>
                  <a:pt x="72" y="2"/>
                </a:lnTo>
                <a:lnTo>
                  <a:pt x="68" y="3"/>
                </a:lnTo>
                <a:lnTo>
                  <a:pt x="64" y="4"/>
                </a:lnTo>
                <a:lnTo>
                  <a:pt x="60" y="5"/>
                </a:lnTo>
                <a:lnTo>
                  <a:pt x="56" y="6"/>
                </a:lnTo>
                <a:lnTo>
                  <a:pt x="52" y="8"/>
                </a:lnTo>
                <a:lnTo>
                  <a:pt x="49" y="9"/>
                </a:lnTo>
                <a:lnTo>
                  <a:pt x="46" y="11"/>
                </a:lnTo>
                <a:lnTo>
                  <a:pt x="42" y="13"/>
                </a:lnTo>
                <a:lnTo>
                  <a:pt x="39" y="15"/>
                </a:lnTo>
                <a:lnTo>
                  <a:pt x="36" y="17"/>
                </a:lnTo>
                <a:lnTo>
                  <a:pt x="33" y="19"/>
                </a:lnTo>
                <a:lnTo>
                  <a:pt x="30" y="21"/>
                </a:lnTo>
                <a:lnTo>
                  <a:pt x="27" y="23"/>
                </a:lnTo>
                <a:lnTo>
                  <a:pt x="25" y="25"/>
                </a:lnTo>
                <a:lnTo>
                  <a:pt x="22" y="27"/>
                </a:lnTo>
                <a:lnTo>
                  <a:pt x="20" y="30"/>
                </a:lnTo>
                <a:lnTo>
                  <a:pt x="17" y="32"/>
                </a:lnTo>
                <a:lnTo>
                  <a:pt x="15" y="35"/>
                </a:lnTo>
                <a:lnTo>
                  <a:pt x="13" y="37"/>
                </a:lnTo>
                <a:lnTo>
                  <a:pt x="11" y="39"/>
                </a:lnTo>
                <a:lnTo>
                  <a:pt x="10" y="42"/>
                </a:lnTo>
                <a:lnTo>
                  <a:pt x="8" y="44"/>
                </a:lnTo>
                <a:lnTo>
                  <a:pt x="7" y="46"/>
                </a:lnTo>
                <a:lnTo>
                  <a:pt x="5" y="49"/>
                </a:lnTo>
                <a:lnTo>
                  <a:pt x="4" y="51"/>
                </a:lnTo>
                <a:lnTo>
                  <a:pt x="3" y="53"/>
                </a:lnTo>
                <a:lnTo>
                  <a:pt x="2" y="55"/>
                </a:lnTo>
                <a:lnTo>
                  <a:pt x="1" y="58"/>
                </a:lnTo>
                <a:lnTo>
                  <a:pt x="1" y="59"/>
                </a:lnTo>
                <a:lnTo>
                  <a:pt x="0" y="61"/>
                </a:lnTo>
                <a:lnTo>
                  <a:pt x="0" y="63"/>
                </a:lnTo>
                <a:lnTo>
                  <a:pt x="0" y="64"/>
                </a:lnTo>
                <a:lnTo>
                  <a:pt x="0" y="65"/>
                </a:lnTo>
                <a:lnTo>
                  <a:pt x="0" y="66"/>
                </a:lnTo>
                <a:lnTo>
                  <a:pt x="0" y="67"/>
                </a:lnTo>
                <a:lnTo>
                  <a:pt x="0" y="68"/>
                </a:lnTo>
                <a:lnTo>
                  <a:pt x="1" y="69"/>
                </a:lnTo>
                <a:lnTo>
                  <a:pt x="1" y="70"/>
                </a:lnTo>
                <a:lnTo>
                  <a:pt x="2" y="71"/>
                </a:lnTo>
                <a:lnTo>
                  <a:pt x="2" y="72"/>
                </a:lnTo>
                <a:lnTo>
                  <a:pt x="2" y="73"/>
                </a:lnTo>
                <a:lnTo>
                  <a:pt x="3" y="73"/>
                </a:lnTo>
                <a:lnTo>
                  <a:pt x="4" y="74"/>
                </a:lnTo>
                <a:lnTo>
                  <a:pt x="4" y="75"/>
                </a:lnTo>
                <a:lnTo>
                  <a:pt x="5" y="75"/>
                </a:lnTo>
                <a:lnTo>
                  <a:pt x="6" y="76"/>
                </a:lnTo>
                <a:lnTo>
                  <a:pt x="7" y="76"/>
                </a:lnTo>
                <a:lnTo>
                  <a:pt x="8" y="77"/>
                </a:lnTo>
                <a:lnTo>
                  <a:pt x="9" y="77"/>
                </a:lnTo>
                <a:lnTo>
                  <a:pt x="10" y="78"/>
                </a:lnTo>
                <a:lnTo>
                  <a:pt x="11" y="78"/>
                </a:lnTo>
                <a:lnTo>
                  <a:pt x="13" y="78"/>
                </a:lnTo>
                <a:lnTo>
                  <a:pt x="14" y="78"/>
                </a:lnTo>
                <a:lnTo>
                  <a:pt x="16" y="78"/>
                </a:lnTo>
                <a:lnTo>
                  <a:pt x="17" y="78"/>
                </a:lnTo>
                <a:lnTo>
                  <a:pt x="19" y="78"/>
                </a:lnTo>
                <a:lnTo>
                  <a:pt x="21" y="78"/>
                </a:lnTo>
                <a:lnTo>
                  <a:pt x="22" y="78"/>
                </a:lnTo>
                <a:lnTo>
                  <a:pt x="24" y="78"/>
                </a:lnTo>
                <a:lnTo>
                  <a:pt x="26" y="77"/>
                </a:lnTo>
                <a:lnTo>
                  <a:pt x="28" y="77"/>
                </a:lnTo>
                <a:lnTo>
                  <a:pt x="29" y="77"/>
                </a:lnTo>
                <a:lnTo>
                  <a:pt x="31" y="76"/>
                </a:lnTo>
                <a:lnTo>
                  <a:pt x="32" y="76"/>
                </a:lnTo>
                <a:lnTo>
                  <a:pt x="34" y="75"/>
                </a:lnTo>
                <a:lnTo>
                  <a:pt x="35" y="74"/>
                </a:lnTo>
                <a:lnTo>
                  <a:pt x="37" y="74"/>
                </a:lnTo>
                <a:lnTo>
                  <a:pt x="38" y="73"/>
                </a:lnTo>
                <a:lnTo>
                  <a:pt x="40" y="72"/>
                </a:lnTo>
                <a:lnTo>
                  <a:pt x="41" y="71"/>
                </a:lnTo>
                <a:lnTo>
                  <a:pt x="43" y="71"/>
                </a:lnTo>
                <a:lnTo>
                  <a:pt x="45" y="69"/>
                </a:lnTo>
                <a:lnTo>
                  <a:pt x="48" y="67"/>
                </a:lnTo>
                <a:lnTo>
                  <a:pt x="50" y="65"/>
                </a:lnTo>
                <a:lnTo>
                  <a:pt x="53" y="63"/>
                </a:lnTo>
                <a:lnTo>
                  <a:pt x="55" y="62"/>
                </a:lnTo>
                <a:lnTo>
                  <a:pt x="57" y="60"/>
                </a:lnTo>
                <a:lnTo>
                  <a:pt x="59" y="58"/>
                </a:lnTo>
                <a:lnTo>
                  <a:pt x="61" y="56"/>
                </a:lnTo>
                <a:lnTo>
                  <a:pt x="48" y="77"/>
                </a:lnTo>
                <a:lnTo>
                  <a:pt x="78" y="77"/>
                </a:lnTo>
                <a:lnTo>
                  <a:pt x="121" y="6"/>
                </a:lnTo>
                <a:close/>
                <a:moveTo>
                  <a:pt x="35" y="54"/>
                </a:moveTo>
                <a:lnTo>
                  <a:pt x="36" y="53"/>
                </a:lnTo>
                <a:lnTo>
                  <a:pt x="36" y="52"/>
                </a:lnTo>
                <a:lnTo>
                  <a:pt x="37" y="51"/>
                </a:lnTo>
                <a:lnTo>
                  <a:pt x="38" y="50"/>
                </a:lnTo>
                <a:lnTo>
                  <a:pt x="38" y="48"/>
                </a:lnTo>
                <a:lnTo>
                  <a:pt x="39" y="47"/>
                </a:lnTo>
                <a:lnTo>
                  <a:pt x="40" y="45"/>
                </a:lnTo>
                <a:lnTo>
                  <a:pt x="41" y="43"/>
                </a:lnTo>
                <a:lnTo>
                  <a:pt x="42" y="42"/>
                </a:lnTo>
                <a:lnTo>
                  <a:pt x="43" y="40"/>
                </a:lnTo>
                <a:lnTo>
                  <a:pt x="45" y="38"/>
                </a:lnTo>
                <a:lnTo>
                  <a:pt x="46" y="37"/>
                </a:lnTo>
                <a:lnTo>
                  <a:pt x="47" y="35"/>
                </a:lnTo>
                <a:lnTo>
                  <a:pt x="49" y="33"/>
                </a:lnTo>
                <a:lnTo>
                  <a:pt x="50" y="32"/>
                </a:lnTo>
                <a:lnTo>
                  <a:pt x="52" y="30"/>
                </a:lnTo>
                <a:lnTo>
                  <a:pt x="53" y="28"/>
                </a:lnTo>
                <a:lnTo>
                  <a:pt x="55" y="27"/>
                </a:lnTo>
                <a:lnTo>
                  <a:pt x="56" y="25"/>
                </a:lnTo>
                <a:lnTo>
                  <a:pt x="58" y="24"/>
                </a:lnTo>
                <a:lnTo>
                  <a:pt x="60" y="22"/>
                </a:lnTo>
                <a:lnTo>
                  <a:pt x="61" y="21"/>
                </a:lnTo>
                <a:lnTo>
                  <a:pt x="63" y="20"/>
                </a:lnTo>
                <a:lnTo>
                  <a:pt x="65" y="18"/>
                </a:lnTo>
                <a:lnTo>
                  <a:pt x="67" y="17"/>
                </a:lnTo>
                <a:lnTo>
                  <a:pt x="68" y="16"/>
                </a:lnTo>
                <a:lnTo>
                  <a:pt x="70" y="15"/>
                </a:lnTo>
                <a:lnTo>
                  <a:pt x="72" y="15"/>
                </a:lnTo>
                <a:lnTo>
                  <a:pt x="74" y="14"/>
                </a:lnTo>
                <a:lnTo>
                  <a:pt x="75" y="14"/>
                </a:lnTo>
                <a:lnTo>
                  <a:pt x="77" y="14"/>
                </a:lnTo>
                <a:lnTo>
                  <a:pt x="79" y="13"/>
                </a:lnTo>
                <a:lnTo>
                  <a:pt x="81" y="14"/>
                </a:lnTo>
                <a:lnTo>
                  <a:pt x="82" y="14"/>
                </a:lnTo>
                <a:lnTo>
                  <a:pt x="83" y="14"/>
                </a:lnTo>
                <a:lnTo>
                  <a:pt x="84" y="14"/>
                </a:lnTo>
                <a:lnTo>
                  <a:pt x="81" y="18"/>
                </a:lnTo>
                <a:lnTo>
                  <a:pt x="79" y="21"/>
                </a:lnTo>
                <a:lnTo>
                  <a:pt x="77" y="25"/>
                </a:lnTo>
                <a:lnTo>
                  <a:pt x="74" y="28"/>
                </a:lnTo>
                <a:lnTo>
                  <a:pt x="72" y="31"/>
                </a:lnTo>
                <a:lnTo>
                  <a:pt x="70" y="34"/>
                </a:lnTo>
                <a:lnTo>
                  <a:pt x="67" y="37"/>
                </a:lnTo>
                <a:lnTo>
                  <a:pt x="65" y="39"/>
                </a:lnTo>
                <a:lnTo>
                  <a:pt x="62" y="44"/>
                </a:lnTo>
                <a:lnTo>
                  <a:pt x="58" y="47"/>
                </a:lnTo>
                <a:lnTo>
                  <a:pt x="56" y="50"/>
                </a:lnTo>
                <a:lnTo>
                  <a:pt x="54" y="52"/>
                </a:lnTo>
                <a:lnTo>
                  <a:pt x="53" y="53"/>
                </a:lnTo>
                <a:lnTo>
                  <a:pt x="51" y="54"/>
                </a:lnTo>
                <a:lnTo>
                  <a:pt x="49" y="56"/>
                </a:lnTo>
                <a:lnTo>
                  <a:pt x="48" y="57"/>
                </a:lnTo>
                <a:lnTo>
                  <a:pt x="47" y="58"/>
                </a:lnTo>
                <a:lnTo>
                  <a:pt x="46" y="58"/>
                </a:lnTo>
                <a:lnTo>
                  <a:pt x="45" y="59"/>
                </a:lnTo>
                <a:lnTo>
                  <a:pt x="44" y="59"/>
                </a:lnTo>
                <a:lnTo>
                  <a:pt x="43" y="60"/>
                </a:lnTo>
                <a:lnTo>
                  <a:pt x="42" y="60"/>
                </a:lnTo>
                <a:lnTo>
                  <a:pt x="41" y="60"/>
                </a:lnTo>
                <a:lnTo>
                  <a:pt x="40" y="60"/>
                </a:lnTo>
                <a:lnTo>
                  <a:pt x="39" y="60"/>
                </a:lnTo>
                <a:lnTo>
                  <a:pt x="38" y="60"/>
                </a:lnTo>
                <a:lnTo>
                  <a:pt x="37" y="60"/>
                </a:lnTo>
                <a:lnTo>
                  <a:pt x="36" y="59"/>
                </a:lnTo>
                <a:lnTo>
                  <a:pt x="35" y="58"/>
                </a:lnTo>
                <a:lnTo>
                  <a:pt x="35" y="57"/>
                </a:lnTo>
                <a:lnTo>
                  <a:pt x="35" y="56"/>
                </a:lnTo>
                <a:lnTo>
                  <a:pt x="35" y="55"/>
                </a:lnTo>
                <a:lnTo>
                  <a:pt x="35" y="54"/>
                </a:lnTo>
                <a:close/>
              </a:path>
            </a:pathLst>
          </a:custGeom>
          <a:solidFill>
            <a:srgbClr val="00593C"/>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306927" name="AutoShape 15">
            <a:extLst>
              <a:ext uri="{FF2B5EF4-FFF2-40B4-BE49-F238E27FC236}">
                <a16:creationId xmlns:a16="http://schemas.microsoft.com/office/drawing/2014/main" id="{76EE69D9-498C-4541-9636-53AD55FAC038}"/>
              </a:ext>
            </a:extLst>
          </xdr:cNvPr>
          <xdr:cNvSpPr>
            <a:spLocks noChangeAspect="1" noChangeArrowheads="1"/>
          </xdr:cNvSpPr>
        </xdr:nvSpPr>
        <xdr:spPr bwMode="auto">
          <a:xfrm>
            <a:off x="576" y="1584"/>
            <a:ext cx="1056" cy="2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grpSp>
    <xdr:clientData/>
  </xdr:twoCellAnchor>
  <xdr:twoCellAnchor>
    <xdr:from>
      <xdr:col>1</xdr:col>
      <xdr:colOff>9525</xdr:colOff>
      <xdr:row>2</xdr:row>
      <xdr:rowOff>28575</xdr:rowOff>
    </xdr:from>
    <xdr:to>
      <xdr:col>1</xdr:col>
      <xdr:colOff>723900</xdr:colOff>
      <xdr:row>2</xdr:row>
      <xdr:rowOff>238125</xdr:rowOff>
    </xdr:to>
    <xdr:sp macro="" textlink="">
      <xdr:nvSpPr>
        <xdr:cNvPr id="19" name="Rectangle 4">
          <a:hlinkClick xmlns:r="http://schemas.openxmlformats.org/officeDocument/2006/relationships" r:id="rId1"/>
          <a:extLst>
            <a:ext uri="{FF2B5EF4-FFF2-40B4-BE49-F238E27FC236}">
              <a16:creationId xmlns:a16="http://schemas.microsoft.com/office/drawing/2014/main" id="{47F78E05-A726-4FCC-9E87-2777D11ED070}"/>
            </a:ext>
          </a:extLst>
        </xdr:cNvPr>
        <xdr:cNvSpPr>
          <a:spLocks noChangeArrowheads="1"/>
        </xdr:cNvSpPr>
      </xdr:nvSpPr>
      <xdr:spPr bwMode="auto">
        <a:xfrm>
          <a:off x="238125" y="514350"/>
          <a:ext cx="714375" cy="209550"/>
        </a:xfrm>
        <a:prstGeom prst="rect">
          <a:avLst/>
        </a:prstGeom>
        <a:solidFill>
          <a:srgbClr val="00593D"/>
        </a:solidFill>
        <a:ln w="19050">
          <a:solidFill>
            <a:srgbClr val="FFFFFF"/>
          </a:solidFill>
          <a:miter lim="800000"/>
          <a:headEnd/>
          <a:tailEnd/>
        </a:ln>
      </xdr:spPr>
      <xdr:txBody>
        <a:bodyPr vertOverflow="clip" wrap="square" lIns="27432" tIns="18288" rIns="27432" bIns="0" anchor="t" upright="1"/>
        <a:lstStyle/>
        <a:p>
          <a:pPr algn="ctr" rtl="0">
            <a:defRPr sz="1000"/>
          </a:pPr>
          <a:r>
            <a:rPr lang="pt-BR" sz="1000" b="1" i="0" u="none" strike="noStrike" baseline="0">
              <a:solidFill>
                <a:srgbClr val="FFFFFF"/>
              </a:solidFill>
              <a:latin typeface="Arial"/>
              <a:cs typeface="Arial"/>
            </a:rPr>
            <a:t>Back</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3</xdr:row>
      <xdr:rowOff>19050</xdr:rowOff>
    </xdr:from>
    <xdr:to>
      <xdr:col>1</xdr:col>
      <xdr:colOff>714375</xdr:colOff>
      <xdr:row>3</xdr:row>
      <xdr:rowOff>247650</xdr:rowOff>
    </xdr:to>
    <xdr:sp macro="" textlink="">
      <xdr:nvSpPr>
        <xdr:cNvPr id="21522" name="Rectangle 4">
          <a:hlinkClick xmlns:r="http://schemas.openxmlformats.org/officeDocument/2006/relationships" r:id="rId1"/>
          <a:extLst>
            <a:ext uri="{FF2B5EF4-FFF2-40B4-BE49-F238E27FC236}">
              <a16:creationId xmlns:a16="http://schemas.microsoft.com/office/drawing/2014/main" id="{6F15C2EB-4A55-492F-BC8D-F6A2F1B5C4BD}"/>
            </a:ext>
          </a:extLst>
        </xdr:cNvPr>
        <xdr:cNvSpPr>
          <a:spLocks noChangeArrowheads="1"/>
        </xdr:cNvSpPr>
      </xdr:nvSpPr>
      <xdr:spPr bwMode="auto">
        <a:xfrm>
          <a:off x="238125" y="457200"/>
          <a:ext cx="714375" cy="228600"/>
        </a:xfrm>
        <a:prstGeom prst="rect">
          <a:avLst/>
        </a:prstGeom>
        <a:solidFill>
          <a:srgbClr val="00593D"/>
        </a:solidFill>
        <a:ln w="19050">
          <a:solidFill>
            <a:srgbClr val="FFFFFF"/>
          </a:solidFill>
          <a:miter lim="800000"/>
          <a:headEnd/>
          <a:tailEnd/>
        </a:ln>
      </xdr:spPr>
      <xdr:txBody>
        <a:bodyPr vertOverflow="clip" wrap="square" lIns="27432" tIns="18288" rIns="27432" bIns="0" anchor="t" upright="1"/>
        <a:lstStyle/>
        <a:p>
          <a:pPr algn="ctr" rtl="0">
            <a:defRPr sz="1000"/>
          </a:pPr>
          <a:r>
            <a:rPr lang="pt-BR" sz="1000" b="1" i="0" u="none" strike="noStrike" baseline="0">
              <a:solidFill>
                <a:srgbClr val="FFFFFF"/>
              </a:solidFill>
              <a:latin typeface="Arial"/>
              <a:cs typeface="Arial"/>
            </a:rPr>
            <a:t>Back</a:t>
          </a:r>
        </a:p>
      </xdr:txBody>
    </xdr:sp>
    <xdr:clientData/>
  </xdr:twoCellAnchor>
  <xdr:twoCellAnchor editAs="oneCell">
    <xdr:from>
      <xdr:col>18</xdr:col>
      <xdr:colOff>228600</xdr:colOff>
      <xdr:row>3</xdr:row>
      <xdr:rowOff>85725</xdr:rowOff>
    </xdr:from>
    <xdr:to>
      <xdr:col>19</xdr:col>
      <xdr:colOff>666750</xdr:colOff>
      <xdr:row>4</xdr:row>
      <xdr:rowOff>142875</xdr:rowOff>
    </xdr:to>
    <xdr:pic>
      <xdr:nvPicPr>
        <xdr:cNvPr id="1301620" name="Picture 34">
          <a:extLst>
            <a:ext uri="{FF2B5EF4-FFF2-40B4-BE49-F238E27FC236}">
              <a16:creationId xmlns:a16="http://schemas.microsoft.com/office/drawing/2014/main" id="{8A2AE206-BBE6-4164-9F6C-AF7CDEA37F1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011150" y="514350"/>
          <a:ext cx="1133475"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1290204</xdr:colOff>
      <xdr:row>27</xdr:row>
      <xdr:rowOff>43295</xdr:rowOff>
    </xdr:from>
    <xdr:to>
      <xdr:col>3</xdr:col>
      <xdr:colOff>95250</xdr:colOff>
      <xdr:row>27</xdr:row>
      <xdr:rowOff>181841</xdr:rowOff>
    </xdr:to>
    <xdr:sp macro="" textlink="">
      <xdr:nvSpPr>
        <xdr:cNvPr id="4" name="Rectangle 4">
          <a:hlinkClick xmlns:r="http://schemas.openxmlformats.org/officeDocument/2006/relationships" r:id="rId3"/>
          <a:extLst>
            <a:ext uri="{FF2B5EF4-FFF2-40B4-BE49-F238E27FC236}">
              <a16:creationId xmlns:a16="http://schemas.microsoft.com/office/drawing/2014/main" id="{B37CBD69-6280-4201-A31C-66BF3C5718C1}"/>
            </a:ext>
          </a:extLst>
        </xdr:cNvPr>
        <xdr:cNvSpPr>
          <a:spLocks noChangeArrowheads="1"/>
        </xdr:cNvSpPr>
      </xdr:nvSpPr>
      <xdr:spPr bwMode="auto">
        <a:xfrm>
          <a:off x="1532659" y="5065568"/>
          <a:ext cx="978477" cy="138546"/>
        </a:xfrm>
        <a:prstGeom prst="rect">
          <a:avLst/>
        </a:prstGeom>
        <a:solidFill>
          <a:srgbClr val="00593D"/>
        </a:solidFill>
        <a:ln w="19050">
          <a:solidFill>
            <a:srgbClr val="FFFFFF"/>
          </a:solidFill>
          <a:miter lim="800000"/>
          <a:headEnd/>
          <a:tailEnd/>
        </a:ln>
      </xdr:spPr>
      <xdr:txBody>
        <a:bodyPr vertOverflow="clip" wrap="square" lIns="27432" tIns="18288" rIns="27432" bIns="0" anchor="t" upright="1"/>
        <a:lstStyle/>
        <a:p>
          <a:pPr algn="ctr" rtl="0">
            <a:defRPr sz="1000"/>
          </a:pPr>
          <a:r>
            <a:rPr lang="pt-BR" sz="600" b="1" i="0" u="none" strike="noStrike" baseline="0">
              <a:solidFill>
                <a:srgbClr val="FFFFFF"/>
              </a:solidFill>
              <a:latin typeface="Arial"/>
              <a:cs typeface="Arial"/>
            </a:rPr>
            <a:t>Sales/Aquisition</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17</xdr:col>
      <xdr:colOff>190500</xdr:colOff>
      <xdr:row>2</xdr:row>
      <xdr:rowOff>19050</xdr:rowOff>
    </xdr:from>
    <xdr:to>
      <xdr:col>19</xdr:col>
      <xdr:colOff>38100</xdr:colOff>
      <xdr:row>3</xdr:row>
      <xdr:rowOff>19050</xdr:rowOff>
    </xdr:to>
    <xdr:pic>
      <xdr:nvPicPr>
        <xdr:cNvPr id="1252137" name="Picture 33">
          <a:extLst>
            <a:ext uri="{FF2B5EF4-FFF2-40B4-BE49-F238E27FC236}">
              <a16:creationId xmlns:a16="http://schemas.microsoft.com/office/drawing/2014/main" id="{D3FCD201-4198-4B37-BA7D-A8807C4FF6C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486900" y="495300"/>
          <a:ext cx="1238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0</xdr:colOff>
      <xdr:row>2</xdr:row>
      <xdr:rowOff>0</xdr:rowOff>
    </xdr:from>
    <xdr:to>
      <xdr:col>1</xdr:col>
      <xdr:colOff>714375</xdr:colOff>
      <xdr:row>2</xdr:row>
      <xdr:rowOff>209550</xdr:rowOff>
    </xdr:to>
    <xdr:sp macro="" textlink="">
      <xdr:nvSpPr>
        <xdr:cNvPr id="4" name="Rectangle 4">
          <a:hlinkClick xmlns:r="http://schemas.openxmlformats.org/officeDocument/2006/relationships" r:id="rId2"/>
          <a:extLst>
            <a:ext uri="{FF2B5EF4-FFF2-40B4-BE49-F238E27FC236}">
              <a16:creationId xmlns:a16="http://schemas.microsoft.com/office/drawing/2014/main" id="{A6954F29-E0BB-487F-884E-603C3E93278D}"/>
            </a:ext>
          </a:extLst>
        </xdr:cNvPr>
        <xdr:cNvSpPr>
          <a:spLocks noChangeArrowheads="1"/>
        </xdr:cNvSpPr>
      </xdr:nvSpPr>
      <xdr:spPr bwMode="auto">
        <a:xfrm>
          <a:off x="228600" y="476250"/>
          <a:ext cx="714375" cy="209550"/>
        </a:xfrm>
        <a:prstGeom prst="rect">
          <a:avLst/>
        </a:prstGeom>
        <a:solidFill>
          <a:srgbClr val="00593D"/>
        </a:solidFill>
        <a:ln w="19050">
          <a:solidFill>
            <a:srgbClr val="FFFFFF"/>
          </a:solidFill>
          <a:miter lim="800000"/>
          <a:headEnd/>
          <a:tailEnd/>
        </a:ln>
      </xdr:spPr>
      <xdr:txBody>
        <a:bodyPr vertOverflow="clip" wrap="square" lIns="27432" tIns="18288" rIns="27432" bIns="0" anchor="t" upright="1"/>
        <a:lstStyle/>
        <a:p>
          <a:pPr algn="ctr" rtl="0">
            <a:defRPr sz="1000"/>
          </a:pPr>
          <a:r>
            <a:rPr lang="pt-BR" sz="1000" b="1" i="0" u="none" strike="noStrike" baseline="0">
              <a:solidFill>
                <a:srgbClr val="FFFFFF"/>
              </a:solidFill>
              <a:latin typeface="Arial"/>
              <a:cs typeface="Arial"/>
            </a:rPr>
            <a:t>Back</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18</xdr:col>
      <xdr:colOff>438150</xdr:colOff>
      <xdr:row>2</xdr:row>
      <xdr:rowOff>28575</xdr:rowOff>
    </xdr:from>
    <xdr:to>
      <xdr:col>20</xdr:col>
      <xdr:colOff>19050</xdr:colOff>
      <xdr:row>4</xdr:row>
      <xdr:rowOff>0</xdr:rowOff>
    </xdr:to>
    <xdr:pic>
      <xdr:nvPicPr>
        <xdr:cNvPr id="1250706" name="Picture 16">
          <a:extLst>
            <a:ext uri="{FF2B5EF4-FFF2-40B4-BE49-F238E27FC236}">
              <a16:creationId xmlns:a16="http://schemas.microsoft.com/office/drawing/2014/main" id="{4DCA41C0-F0BE-4CF6-BC29-4FD6460E4A4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087475" y="514350"/>
          <a:ext cx="123825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0</xdr:colOff>
      <xdr:row>2</xdr:row>
      <xdr:rowOff>0</xdr:rowOff>
    </xdr:from>
    <xdr:to>
      <xdr:col>1</xdr:col>
      <xdr:colOff>714375</xdr:colOff>
      <xdr:row>2</xdr:row>
      <xdr:rowOff>209550</xdr:rowOff>
    </xdr:to>
    <xdr:sp macro="" textlink="">
      <xdr:nvSpPr>
        <xdr:cNvPr id="4" name="Rectangle 4">
          <a:hlinkClick xmlns:r="http://schemas.openxmlformats.org/officeDocument/2006/relationships" r:id="rId2"/>
          <a:extLst>
            <a:ext uri="{FF2B5EF4-FFF2-40B4-BE49-F238E27FC236}">
              <a16:creationId xmlns:a16="http://schemas.microsoft.com/office/drawing/2014/main" id="{75D09F0A-F6BB-4FF8-ABDB-C42FF297A816}"/>
            </a:ext>
          </a:extLst>
        </xdr:cNvPr>
        <xdr:cNvSpPr>
          <a:spLocks noChangeArrowheads="1"/>
        </xdr:cNvSpPr>
      </xdr:nvSpPr>
      <xdr:spPr bwMode="auto">
        <a:xfrm>
          <a:off x="225136" y="484909"/>
          <a:ext cx="714375" cy="209550"/>
        </a:xfrm>
        <a:prstGeom prst="rect">
          <a:avLst/>
        </a:prstGeom>
        <a:solidFill>
          <a:srgbClr val="00593D"/>
        </a:solidFill>
        <a:ln w="19050">
          <a:solidFill>
            <a:srgbClr val="FFFFFF"/>
          </a:solidFill>
          <a:miter lim="800000"/>
          <a:headEnd/>
          <a:tailEnd/>
        </a:ln>
      </xdr:spPr>
      <xdr:txBody>
        <a:bodyPr vertOverflow="clip" wrap="square" lIns="27432" tIns="18288" rIns="27432" bIns="0" anchor="t" upright="1"/>
        <a:lstStyle/>
        <a:p>
          <a:pPr algn="ctr" rtl="0">
            <a:defRPr sz="1000"/>
          </a:pPr>
          <a:r>
            <a:rPr lang="pt-BR" sz="1000" b="1" i="0" u="none" strike="noStrike" baseline="0">
              <a:solidFill>
                <a:srgbClr val="FFFFFF"/>
              </a:solidFill>
              <a:latin typeface="Arial"/>
              <a:cs typeface="Arial"/>
            </a:rPr>
            <a:t>Back</a:t>
          </a: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17</xdr:col>
      <xdr:colOff>323850</xdr:colOff>
      <xdr:row>1</xdr:row>
      <xdr:rowOff>200025</xdr:rowOff>
    </xdr:from>
    <xdr:to>
      <xdr:col>19</xdr:col>
      <xdr:colOff>76201</xdr:colOff>
      <xdr:row>3</xdr:row>
      <xdr:rowOff>257175</xdr:rowOff>
    </xdr:to>
    <xdr:pic>
      <xdr:nvPicPr>
        <xdr:cNvPr id="1254802" name="Picture 16">
          <a:extLst>
            <a:ext uri="{FF2B5EF4-FFF2-40B4-BE49-F238E27FC236}">
              <a16:creationId xmlns:a16="http://schemas.microsoft.com/office/drawing/2014/main" id="{2081F206-324C-49B8-AE37-D4ACA570B78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896850" y="466725"/>
          <a:ext cx="1238250"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0</xdr:colOff>
      <xdr:row>3</xdr:row>
      <xdr:rowOff>0</xdr:rowOff>
    </xdr:from>
    <xdr:to>
      <xdr:col>1</xdr:col>
      <xdr:colOff>714375</xdr:colOff>
      <xdr:row>3</xdr:row>
      <xdr:rowOff>209550</xdr:rowOff>
    </xdr:to>
    <xdr:sp macro="" textlink="">
      <xdr:nvSpPr>
        <xdr:cNvPr id="4" name="Rectangle 4">
          <a:hlinkClick xmlns:r="http://schemas.openxmlformats.org/officeDocument/2006/relationships" r:id="rId2"/>
          <a:extLst>
            <a:ext uri="{FF2B5EF4-FFF2-40B4-BE49-F238E27FC236}">
              <a16:creationId xmlns:a16="http://schemas.microsoft.com/office/drawing/2014/main" id="{5262D9A7-A9F0-43A5-A857-723B01F4EB72}"/>
            </a:ext>
          </a:extLst>
        </xdr:cNvPr>
        <xdr:cNvSpPr>
          <a:spLocks noChangeArrowheads="1"/>
        </xdr:cNvSpPr>
      </xdr:nvSpPr>
      <xdr:spPr bwMode="auto">
        <a:xfrm>
          <a:off x="242455" y="484909"/>
          <a:ext cx="714375" cy="209550"/>
        </a:xfrm>
        <a:prstGeom prst="rect">
          <a:avLst/>
        </a:prstGeom>
        <a:solidFill>
          <a:srgbClr val="00593D"/>
        </a:solidFill>
        <a:ln w="19050">
          <a:solidFill>
            <a:srgbClr val="FFFFFF"/>
          </a:solidFill>
          <a:miter lim="800000"/>
          <a:headEnd/>
          <a:tailEnd/>
        </a:ln>
      </xdr:spPr>
      <xdr:txBody>
        <a:bodyPr vertOverflow="clip" wrap="square" lIns="27432" tIns="18288" rIns="27432" bIns="0" anchor="t" upright="1"/>
        <a:lstStyle/>
        <a:p>
          <a:pPr algn="ctr" rtl="0">
            <a:defRPr sz="1000"/>
          </a:pPr>
          <a:r>
            <a:rPr lang="pt-BR" sz="1000" b="1" i="0" u="none" strike="noStrike" baseline="0">
              <a:solidFill>
                <a:srgbClr val="FFFFFF"/>
              </a:solidFill>
              <a:latin typeface="Arial"/>
              <a:cs typeface="Arial"/>
            </a:rPr>
            <a:t>Back</a:t>
          </a: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16</xdr:col>
      <xdr:colOff>581025</xdr:colOff>
      <xdr:row>2</xdr:row>
      <xdr:rowOff>28575</xdr:rowOff>
    </xdr:from>
    <xdr:to>
      <xdr:col>18</xdr:col>
      <xdr:colOff>66675</xdr:colOff>
      <xdr:row>4</xdr:row>
      <xdr:rowOff>9525</xdr:rowOff>
    </xdr:to>
    <xdr:pic>
      <xdr:nvPicPr>
        <xdr:cNvPr id="1252754" name="Picture 16">
          <a:extLst>
            <a:ext uri="{FF2B5EF4-FFF2-40B4-BE49-F238E27FC236}">
              <a16:creationId xmlns:a16="http://schemas.microsoft.com/office/drawing/2014/main" id="{5FA36E59-A5C8-464F-9D44-9032652F66D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725525" y="514350"/>
          <a:ext cx="125730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0</xdr:colOff>
      <xdr:row>2</xdr:row>
      <xdr:rowOff>0</xdr:rowOff>
    </xdr:from>
    <xdr:to>
      <xdr:col>1</xdr:col>
      <xdr:colOff>714375</xdr:colOff>
      <xdr:row>2</xdr:row>
      <xdr:rowOff>209550</xdr:rowOff>
    </xdr:to>
    <xdr:sp macro="" textlink="">
      <xdr:nvSpPr>
        <xdr:cNvPr id="4" name="Rectangle 4">
          <a:hlinkClick xmlns:r="http://schemas.openxmlformats.org/officeDocument/2006/relationships" r:id="rId2"/>
          <a:extLst>
            <a:ext uri="{FF2B5EF4-FFF2-40B4-BE49-F238E27FC236}">
              <a16:creationId xmlns:a16="http://schemas.microsoft.com/office/drawing/2014/main" id="{06ECDBC3-2884-4DBE-A4DF-F8A4D01B6F14}"/>
            </a:ext>
          </a:extLst>
        </xdr:cNvPr>
        <xdr:cNvSpPr>
          <a:spLocks noChangeArrowheads="1"/>
        </xdr:cNvSpPr>
      </xdr:nvSpPr>
      <xdr:spPr bwMode="auto">
        <a:xfrm>
          <a:off x="164523" y="484909"/>
          <a:ext cx="714375" cy="209550"/>
        </a:xfrm>
        <a:prstGeom prst="rect">
          <a:avLst/>
        </a:prstGeom>
        <a:solidFill>
          <a:srgbClr val="00593D"/>
        </a:solidFill>
        <a:ln w="19050">
          <a:solidFill>
            <a:srgbClr val="FFFFFF"/>
          </a:solidFill>
          <a:miter lim="800000"/>
          <a:headEnd/>
          <a:tailEnd/>
        </a:ln>
      </xdr:spPr>
      <xdr:txBody>
        <a:bodyPr vertOverflow="clip" wrap="square" lIns="27432" tIns="18288" rIns="27432" bIns="0" anchor="t" upright="1"/>
        <a:lstStyle/>
        <a:p>
          <a:pPr algn="ctr" rtl="0">
            <a:defRPr sz="1000"/>
          </a:pPr>
          <a:r>
            <a:rPr lang="pt-BR" sz="1000" b="1" i="0" u="none" strike="noStrike" baseline="0">
              <a:solidFill>
                <a:srgbClr val="FFFFFF"/>
              </a:solidFill>
              <a:latin typeface="Arial"/>
              <a:cs typeface="Arial"/>
            </a:rPr>
            <a:t>Back</a:t>
          </a: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18</xdr:col>
      <xdr:colOff>142875</xdr:colOff>
      <xdr:row>2</xdr:row>
      <xdr:rowOff>66675</xdr:rowOff>
    </xdr:from>
    <xdr:to>
      <xdr:col>19</xdr:col>
      <xdr:colOff>685800</xdr:colOff>
      <xdr:row>3</xdr:row>
      <xdr:rowOff>57150</xdr:rowOff>
    </xdr:to>
    <xdr:pic>
      <xdr:nvPicPr>
        <xdr:cNvPr id="1257257" name="Picture 17">
          <a:extLst>
            <a:ext uri="{FF2B5EF4-FFF2-40B4-BE49-F238E27FC236}">
              <a16:creationId xmlns:a16="http://schemas.microsoft.com/office/drawing/2014/main" id="{8FE4D381-6E0D-4A3A-894D-14F0563BBAE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639800" y="552450"/>
          <a:ext cx="1238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219075</xdr:colOff>
      <xdr:row>2</xdr:row>
      <xdr:rowOff>95250</xdr:rowOff>
    </xdr:from>
    <xdr:to>
      <xdr:col>1</xdr:col>
      <xdr:colOff>704850</xdr:colOff>
      <xdr:row>3</xdr:row>
      <xdr:rowOff>0</xdr:rowOff>
    </xdr:to>
    <xdr:sp macro="" textlink="">
      <xdr:nvSpPr>
        <xdr:cNvPr id="5" name="Rectangle 4">
          <a:hlinkClick xmlns:r="http://schemas.openxmlformats.org/officeDocument/2006/relationships" r:id="rId2"/>
          <a:extLst>
            <a:ext uri="{FF2B5EF4-FFF2-40B4-BE49-F238E27FC236}">
              <a16:creationId xmlns:a16="http://schemas.microsoft.com/office/drawing/2014/main" id="{74B9F5B3-FA26-43DC-BDB2-3975B2E87293}"/>
            </a:ext>
          </a:extLst>
        </xdr:cNvPr>
        <xdr:cNvSpPr>
          <a:spLocks noChangeArrowheads="1"/>
        </xdr:cNvSpPr>
      </xdr:nvSpPr>
      <xdr:spPr bwMode="auto">
        <a:xfrm>
          <a:off x="219075" y="581025"/>
          <a:ext cx="714375" cy="209550"/>
        </a:xfrm>
        <a:prstGeom prst="rect">
          <a:avLst/>
        </a:prstGeom>
        <a:solidFill>
          <a:srgbClr val="00593D"/>
        </a:solidFill>
        <a:ln w="19050">
          <a:solidFill>
            <a:srgbClr val="FFFFFF"/>
          </a:solidFill>
          <a:miter lim="800000"/>
          <a:headEnd/>
          <a:tailEnd/>
        </a:ln>
      </xdr:spPr>
      <xdr:txBody>
        <a:bodyPr vertOverflow="clip" wrap="square" lIns="27432" tIns="18288" rIns="27432" bIns="0" anchor="t" upright="1"/>
        <a:lstStyle/>
        <a:p>
          <a:pPr algn="ctr" rtl="0">
            <a:defRPr sz="1000"/>
          </a:pPr>
          <a:r>
            <a:rPr lang="pt-BR" sz="1000" b="1" i="0" u="none" strike="noStrike" baseline="0">
              <a:solidFill>
                <a:srgbClr val="FFFFFF"/>
              </a:solidFill>
              <a:latin typeface="Arial"/>
              <a:cs typeface="Arial"/>
            </a:rPr>
            <a:t>Back</a:t>
          </a:r>
        </a:p>
      </xdr:txBody>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17</xdr:col>
      <xdr:colOff>352425</xdr:colOff>
      <xdr:row>2</xdr:row>
      <xdr:rowOff>66675</xdr:rowOff>
    </xdr:from>
    <xdr:to>
      <xdr:col>19</xdr:col>
      <xdr:colOff>104775</xdr:colOff>
      <xdr:row>3</xdr:row>
      <xdr:rowOff>57150</xdr:rowOff>
    </xdr:to>
    <xdr:pic>
      <xdr:nvPicPr>
        <xdr:cNvPr id="1261371" name="Picture 18">
          <a:extLst>
            <a:ext uri="{FF2B5EF4-FFF2-40B4-BE49-F238E27FC236}">
              <a16:creationId xmlns:a16="http://schemas.microsoft.com/office/drawing/2014/main" id="{1965E6E0-7DC3-4B22-942E-09CAB4041AB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420725" y="552450"/>
          <a:ext cx="1238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0</xdr:colOff>
      <xdr:row>2</xdr:row>
      <xdr:rowOff>38100</xdr:rowOff>
    </xdr:from>
    <xdr:to>
      <xdr:col>1</xdr:col>
      <xdr:colOff>714375</xdr:colOff>
      <xdr:row>2</xdr:row>
      <xdr:rowOff>247650</xdr:rowOff>
    </xdr:to>
    <xdr:sp macro="" textlink="">
      <xdr:nvSpPr>
        <xdr:cNvPr id="5" name="Rectangle 4">
          <a:hlinkClick xmlns:r="http://schemas.openxmlformats.org/officeDocument/2006/relationships" r:id="rId2"/>
          <a:extLst>
            <a:ext uri="{FF2B5EF4-FFF2-40B4-BE49-F238E27FC236}">
              <a16:creationId xmlns:a16="http://schemas.microsoft.com/office/drawing/2014/main" id="{0475B691-31AE-4D5A-AA2E-96E18871D83C}"/>
            </a:ext>
          </a:extLst>
        </xdr:cNvPr>
        <xdr:cNvSpPr>
          <a:spLocks noChangeArrowheads="1"/>
        </xdr:cNvSpPr>
      </xdr:nvSpPr>
      <xdr:spPr bwMode="auto">
        <a:xfrm>
          <a:off x="228600" y="523875"/>
          <a:ext cx="714375" cy="209550"/>
        </a:xfrm>
        <a:prstGeom prst="rect">
          <a:avLst/>
        </a:prstGeom>
        <a:solidFill>
          <a:srgbClr val="00593D"/>
        </a:solidFill>
        <a:ln w="19050">
          <a:solidFill>
            <a:srgbClr val="FFFFFF"/>
          </a:solidFill>
          <a:miter lim="800000"/>
          <a:headEnd/>
          <a:tailEnd/>
        </a:ln>
      </xdr:spPr>
      <xdr:txBody>
        <a:bodyPr vertOverflow="clip" wrap="square" lIns="27432" tIns="18288" rIns="27432" bIns="0" anchor="t" upright="1"/>
        <a:lstStyle/>
        <a:p>
          <a:pPr algn="ctr" rtl="0">
            <a:defRPr sz="1000"/>
          </a:pPr>
          <a:r>
            <a:rPr lang="pt-BR" sz="1000" b="1" i="0" u="none" strike="noStrike" baseline="0">
              <a:solidFill>
                <a:srgbClr val="FFFFFF"/>
              </a:solidFill>
              <a:latin typeface="Arial"/>
              <a:cs typeface="Arial"/>
            </a:rPr>
            <a:t>Back</a:t>
          </a:r>
        </a:p>
      </xdr:txBody>
    </xdr:sp>
    <xdr:clientData/>
  </xdr:twoCellAnchor>
</xdr:wsDr>
</file>

<file path=xl/drawings/drawing9.xml><?xml version="1.0" encoding="utf-8"?>
<xdr:wsDr xmlns:xdr="http://schemas.openxmlformats.org/drawingml/2006/spreadsheetDrawing" xmlns:a="http://schemas.openxmlformats.org/drawingml/2006/main">
  <xdr:twoCellAnchor editAs="oneCell">
    <xdr:from>
      <xdr:col>17</xdr:col>
      <xdr:colOff>190500</xdr:colOff>
      <xdr:row>2</xdr:row>
      <xdr:rowOff>85725</xdr:rowOff>
    </xdr:from>
    <xdr:to>
      <xdr:col>19</xdr:col>
      <xdr:colOff>19050</xdr:colOff>
      <xdr:row>3</xdr:row>
      <xdr:rowOff>57150</xdr:rowOff>
    </xdr:to>
    <xdr:pic>
      <xdr:nvPicPr>
        <xdr:cNvPr id="1258155" name="Picture 18">
          <a:extLst>
            <a:ext uri="{FF2B5EF4-FFF2-40B4-BE49-F238E27FC236}">
              <a16:creationId xmlns:a16="http://schemas.microsoft.com/office/drawing/2014/main" id="{389E542C-84B9-463F-8A8A-120465FEDD1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6325" y="581025"/>
          <a:ext cx="1238250"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0</xdr:colOff>
      <xdr:row>2</xdr:row>
      <xdr:rowOff>9525</xdr:rowOff>
    </xdr:from>
    <xdr:to>
      <xdr:col>2</xdr:col>
      <xdr:colOff>714375</xdr:colOff>
      <xdr:row>2</xdr:row>
      <xdr:rowOff>219075</xdr:rowOff>
    </xdr:to>
    <xdr:sp macro="" textlink="">
      <xdr:nvSpPr>
        <xdr:cNvPr id="5" name="Rectangle 4">
          <a:hlinkClick xmlns:r="http://schemas.openxmlformats.org/officeDocument/2006/relationships" r:id="rId2"/>
          <a:extLst>
            <a:ext uri="{FF2B5EF4-FFF2-40B4-BE49-F238E27FC236}">
              <a16:creationId xmlns:a16="http://schemas.microsoft.com/office/drawing/2014/main" id="{411ABB15-5502-432A-83C3-E1C84C642AE1}"/>
            </a:ext>
          </a:extLst>
        </xdr:cNvPr>
        <xdr:cNvSpPr>
          <a:spLocks noChangeArrowheads="1"/>
        </xdr:cNvSpPr>
      </xdr:nvSpPr>
      <xdr:spPr bwMode="auto">
        <a:xfrm>
          <a:off x="295275" y="504825"/>
          <a:ext cx="714375" cy="209550"/>
        </a:xfrm>
        <a:prstGeom prst="rect">
          <a:avLst/>
        </a:prstGeom>
        <a:solidFill>
          <a:srgbClr val="00593D"/>
        </a:solidFill>
        <a:ln w="19050">
          <a:solidFill>
            <a:srgbClr val="FFFFFF"/>
          </a:solidFill>
          <a:miter lim="800000"/>
          <a:headEnd/>
          <a:tailEnd/>
        </a:ln>
      </xdr:spPr>
      <xdr:txBody>
        <a:bodyPr vertOverflow="clip" wrap="square" lIns="27432" tIns="18288" rIns="27432" bIns="0" anchor="t" upright="1"/>
        <a:lstStyle/>
        <a:p>
          <a:pPr algn="ctr" rtl="0">
            <a:defRPr sz="1000"/>
          </a:pPr>
          <a:r>
            <a:rPr lang="pt-BR" sz="1000" b="1" i="0" u="none" strike="noStrike" baseline="0">
              <a:solidFill>
                <a:srgbClr val="FFFFFF"/>
              </a:solidFill>
              <a:latin typeface="Arial"/>
              <a:cs typeface="Arial"/>
            </a:rPr>
            <a:t>Back</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m\Or&#231;amento%20Cont&#225;bil\Or&#231;amento%202003\Realizado\Real%202.003\Comparativo%20Corporativo.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Windados/Controladoria/Contabilidade/Balan&#231;o%20Projetado/2007/Modelo%20JP/SLC%20Model_Adaptado.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S:\LAM\270Park\Industrials\Project%20Bavaro\Models\JP%20Morgan\Project%20Bavarol_JPM_v65.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Documents%20and%20Settings/diego.garcia/Desktop/SLCProjecao_11_2012_Forecast_Comp%20New.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E:\m\Documents%20and%20Settings\LUCIO\Configura&#231;&#245;es%20locais\Temp\Or&#231;amento%20Unidades%202004.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avaco\d\BUNGE\RELATO~1\IFC95\IFC95-2.XLW"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N:\Or&#231;amento%20Cont&#225;bil\Or&#231;amento%202006\Proje&#231;&#227;o%202006\Painel%20Controle%20Consolidado.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E:\m\Contabilidade\Gervasio\An&#225;lise%20de%20Projetos\Maeda\Simula&#231;&#227;o%20Planejamento%202006%20-%20Comercial.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E:\m\Documents%20and%20Settings\LUCIO\Configura&#231;&#245;es%20locais\Temp\Or&#231;amento%20Corporativo%202004.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S:\LAM\270Park\Industrials\Project%20Bavaro\Models\JP%20Morgan\Project%20Bavarol_JPM_v67_Management%20Presentation.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Jamile\c\FLUXO\Riskman99\JOCIMARI\PROJDO.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avaco\d\BUNGE\RELATO~1\JOCIMARI\PROJDO.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LAM/270Park/Natural%20Resources/Power/Project%20Papaya/Model/Elektro/Documents%20and%20Settings/U988281/Local%20Settings/Temp/c.data.U988281.notes_cdi/USERS/Chang/FPL/rostan/STEEL_.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__M&amp;A/GENERAL/MODEL_A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h:\My%20Documents\CRR%20Case%20Study\LBOKEY.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NY-270-05E5\SYS3\M&amp;A\KHOSLA\BEANPOT\COMPS\TVCOMPS.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GR_PFi/AComun/Analisis_Rent/A&#241;o%202.005/Jun-05/CDS/Jun-05%20cds.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E:\m\Or&#231;amento%20Cont&#225;bil\Simula&#231;&#227;o%202006\Simula&#231;&#227;o%20Planejamento%202006%20-%20Atual%20-%20Base%20Mensal.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Windados/Controladoria/Contabilidade/Balan&#231;o%20Projetado/2007/Modelo%20JP/SLC%20Model_14-05-07.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avaco\bunge\temp\TEMPLATE%20BPMEDIO.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rporativo Consolidado"/>
      <sheetName val="Conselho"/>
      <sheetName val="Administrativo"/>
      <sheetName val="Contabilidade"/>
      <sheetName val="Financeiro"/>
      <sheetName val="Dir.Administrativa"/>
      <sheetName val="R.Humanos"/>
      <sheetName val="Informática"/>
      <sheetName val="Dir.Executiva"/>
      <sheetName val="Transporte"/>
      <sheetName val="Suprimentos"/>
      <sheetName val="Agrícola"/>
      <sheetName val="#REF"/>
      <sheetName val="Comparativo Corporativo"/>
    </sheetNames>
    <sheetDataSet>
      <sheetData sheetId="0"/>
      <sheetData sheetId="1"/>
      <sheetData sheetId="2"/>
      <sheetData sheetId="3"/>
      <sheetData sheetId="4"/>
      <sheetData sheetId="5"/>
      <sheetData sheetId="6"/>
      <sheetData sheetId="7"/>
      <sheetData sheetId="8"/>
      <sheetData sheetId="9"/>
      <sheetData sheetId="10"/>
      <sheetData sheetId="11" refreshError="1"/>
      <sheetData sheetId="12" refreshError="1"/>
      <sheetData sheetId="13"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Control"/>
      <sheetName val="Assumptions"/>
      <sheetName val="Macro"/>
      <sheetName val="Preços"/>
      <sheetName val="Projeto Bahia I"/>
      <sheetName val="Bahia I"/>
      <sheetName val="WC_Bahia I"/>
      <sheetName val="PPE_Bahia I"/>
      <sheetName val="DCF_Bahia I"/>
      <sheetName val="Capex_Bahia I"/>
      <sheetName val="Projeto Cerrado I"/>
      <sheetName val="Cerrado I"/>
      <sheetName val="WC_Cerrado I"/>
      <sheetName val="PPE_Cerrado I"/>
      <sheetName val="DCF_Cerrado I"/>
      <sheetName val="Projeto Cerrado II"/>
      <sheetName val="Cerrado II"/>
      <sheetName val="WC_Cerrado II"/>
      <sheetName val="PPE_Cerrado II"/>
      <sheetName val="DCF_Cerrado II"/>
      <sheetName val="Projeto Expansão"/>
      <sheetName val="Volume_Exp"/>
      <sheetName val="Receitas_Exp"/>
      <sheetName val="Custos_Exp"/>
      <sheetName val="IS_Exp"/>
      <sheetName val="WC_Expansao"/>
      <sheetName val="PPE_Expansao"/>
      <sheetName val="DCF_Expansao"/>
      <sheetName val="Capex_Expansão"/>
      <sheetName val="Projetos Atuais"/>
      <sheetName val="Volume"/>
      <sheetName val="Receitas"/>
      <sheetName val="Custos"/>
      <sheetName val="IS"/>
      <sheetName val="WC_Atuais"/>
      <sheetName val="PPE_Atuais"/>
      <sheetName val="DCF_Atuais"/>
      <sheetName val="Combined"/>
      <sheetName val="IS Combined"/>
      <sheetName val="BS Combined"/>
      <sheetName val="CF Combined"/>
      <sheetName val="WC Combined"/>
      <sheetName val="Schedules Combined"/>
      <sheetName val="Resumo"/>
      <sheetName val="DCF_Combined"/>
      <sheetName val="WCCombined"/>
      <sheetName val="WCombined"/>
      <sheetName val="WCmbined"/>
      <sheetName val="WCbined"/>
      <sheetName val="WCined"/>
      <sheetName val="WCned"/>
      <sheetName val="WCed"/>
      <sheetName val="WCd"/>
      <sheetName val="WC"/>
    </sheetNames>
    <sheetDataSet>
      <sheetData sheetId="0"/>
      <sheetData sheetId="1" refreshError="1">
        <row r="28">
          <cell r="G28">
            <v>1</v>
          </cell>
        </row>
        <row r="31">
          <cell r="G31">
            <v>30000</v>
          </cell>
        </row>
        <row r="34">
          <cell r="G34">
            <v>0.2</v>
          </cell>
        </row>
        <row r="41">
          <cell r="G41">
            <v>1</v>
          </cell>
        </row>
        <row r="44">
          <cell r="G44">
            <v>1</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Control"/>
      <sheetName val="Updates"/>
      <sheetName val="Assumptions"/>
      <sheetName val="Volumes"/>
      <sheetName val="Revenues"/>
      <sheetName val="Prices"/>
      <sheetName val="Unit Margin"/>
      <sheetName val="Long"/>
      <sheetName val="Flat"/>
      <sheetName val="Wire"/>
      <sheetName val="PVC_Tubes"/>
      <sheetName val="PVC_Fittings"/>
      <sheetName val="Imports"/>
      <sheetName val="SG&amp;A"/>
      <sheetName val="IS"/>
      <sheetName val="BS"/>
      <sheetName val="CF "/>
      <sheetName val="WC"/>
      <sheetName val="Debt"/>
      <sheetName val="PP&amp;E"/>
      <sheetName val="DCF"/>
      <sheetName val="Equity"/>
      <sheetName val="WACC"/>
      <sheetName val="Do Not Print-&gt;"/>
      <sheetName val="Elasticity"/>
      <sheetName val="Comparison_Long"/>
      <sheetName val="Comparison_Flat"/>
      <sheetName val="Comparison_Wire"/>
      <sheetName val="Comparison_PVC Tubes"/>
      <sheetName val="Comparison_PVC Fittings"/>
      <sheetName val="Comparison_Merchant"/>
      <sheetName val="Output"/>
      <sheetName val="Capacity"/>
      <sheetName val="INCA info-&gt;"/>
      <sheetName val="FY06"/>
      <sheetName val="1Q07"/>
      <sheetName val="Macro_DR"/>
      <sheetName val="Macro_US"/>
      <sheetName val="Statistics_DR"/>
      <sheetName val="FY06_New"/>
      <sheetName val="1Q07_New"/>
      <sheetName val="Output Info Pack"/>
      <sheetName val="Proposal"/>
      <sheetName val="New Budget"/>
      <sheetName val="Real x Budget_Volumes"/>
      <sheetName val="Real x Budget_Prices"/>
      <sheetName val="Real x Budget_Revenues"/>
      <sheetName val="Assumptions_New Budget"/>
      <sheetName val="New Budget_Long"/>
      <sheetName val="New Budget_Flat"/>
      <sheetName val="New Budget_Wire"/>
      <sheetName val="New Budget_PVC_Tubes"/>
      <sheetName val="New Budget_PVC_Fittings"/>
      <sheetName val="New Budget_Imports"/>
      <sheetName val="IS_New Budget"/>
      <sheetName val="SG&amp;A_New Budet"/>
    </sheetNames>
    <sheetDataSet>
      <sheetData sheetId="0"/>
      <sheetData sheetId="1" refreshError="1">
        <row r="41">
          <cell r="F41">
            <v>0</v>
          </cell>
        </row>
        <row r="168">
          <cell r="B168">
            <v>1</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jeção Mensal"/>
      <sheetName val="Capa"/>
      <sheetName val="Control"/>
      <sheetName val="Preços"/>
      <sheetName val="Macro"/>
      <sheetName val="Projetos Atuais"/>
      <sheetName val="Volume_Atuais"/>
      <sheetName val="Área_Atuais_Abert"/>
      <sheetName val="Forma_Custo"/>
      <sheetName val="Sum_Venda_Atuais"/>
      <sheetName val="IFC_Atuais"/>
      <sheetName val="FCFF_Combined"/>
      <sheetName val="EBIT_Cultura_Atuais"/>
      <sheetName val="USD Receivable"/>
      <sheetName val="BS_Atuais"/>
      <sheetName val="VPC"/>
      <sheetName val="IS_Atuais"/>
      <sheetName val="Receitas"/>
      <sheetName val="Custos"/>
      <sheetName val="Capex_Atuais"/>
      <sheetName val="Forma Capex"/>
      <sheetName val="Schedules"/>
      <sheetName val="Cash Flow_Atuais"/>
      <sheetName val="DCF_Atuais"/>
      <sheetName val="WC_Atuais"/>
      <sheetName val="Combined"/>
      <sheetName val="Volume_Comb"/>
      <sheetName val="USD Receivable_Comb"/>
      <sheetName val="Summary PE"/>
      <sheetName val="Summary_Comb"/>
      <sheetName val="WC_Comb"/>
      <sheetName val="Cash Flow_Comb"/>
      <sheetName val="IS_Comb"/>
      <sheetName val="Financials"/>
      <sheetName val="Bridge Avaliado"/>
      <sheetName val="BS_Comb"/>
      <sheetName val="Valuation_Comb"/>
      <sheetName val="Schedules_Comb"/>
      <sheetName val="EBIT_Cultura_Comb"/>
      <sheetName val="IFC_Comb"/>
      <sheetName val="Sum_Indicadores_Comb"/>
      <sheetName val="Sum_Indicadores_Atuais"/>
      <sheetName val="Capex_Comb"/>
      <sheetName val="Sensibilidade"/>
      <sheetName val="Cash Flow Arred"/>
      <sheetName val="Schedules s Arred"/>
      <sheetName val="Custo_Atuais"/>
      <sheetName val="Projeto Atuais"/>
      <sheetName val="Ativo Biológico"/>
      <sheetName val="DCF_Combined"/>
      <sheetName val="Summary Venda"/>
    </sheetNames>
    <sheetDataSet>
      <sheetData sheetId="0" refreshError="1"/>
      <sheetData sheetId="1" refreshError="1"/>
      <sheetData sheetId="2" refreshError="1">
        <row r="9">
          <cell r="F9">
            <v>360</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Inicial"/>
      <sheetName val="Pessoal Produção"/>
      <sheetName val="Pessoal Adm e Com"/>
      <sheetName val="Gastos Pessoal"/>
      <sheetName val="Custos Produção"/>
      <sheetName val="Custos Algodoeira"/>
      <sheetName val="Despesas Adm e Com"/>
      <sheetName val="Custos e Despesas-Geral"/>
      <sheetName val="Despesas Operacionais"/>
      <sheetName val="Índ Rend Agrícola"/>
      <sheetName val="Índ Rend Fiação"/>
      <sheetName val="Índ Rend Óleo e Gordura"/>
      <sheetName val="Compra MP"/>
      <sheetName val="Resumo Vendas"/>
      <sheetName val="Resumo Produção e Vendas"/>
      <sheetName val="Lucros e Perdas"/>
      <sheetName val="Fluxo Caixa"/>
      <sheetName val="Estoque Agrícola"/>
      <sheetName val="Estoque Algodoeira"/>
      <sheetName val="Estoque Fiação"/>
      <sheetName val="Estoque Óleo"/>
      <sheetName val="Estoque Gordura"/>
      <sheetName val="Resumo Orçamento"/>
      <sheetName val="Conferência"/>
    </sheetNames>
    <sheetDataSet>
      <sheetData sheetId="0" refreshError="1"/>
      <sheetData sheetId="1" refreshError="1">
        <row r="63">
          <cell r="E63">
            <v>0</v>
          </cell>
        </row>
        <row r="65">
          <cell r="D65">
            <v>501</v>
          </cell>
          <cell r="E65" t="str">
            <v>Armazém Ituverava-SP</v>
          </cell>
        </row>
        <row r="66">
          <cell r="D66">
            <v>503</v>
          </cell>
          <cell r="E66" t="str">
            <v>Armazém Itumbiara-GO</v>
          </cell>
        </row>
        <row r="67">
          <cell r="D67">
            <v>509</v>
          </cell>
          <cell r="E67" t="str">
            <v>Armazém Porteiraõ-GO</v>
          </cell>
        </row>
        <row r="68">
          <cell r="D68">
            <v>515</v>
          </cell>
          <cell r="E68" t="str">
            <v>Armazém Guapirama-MT</v>
          </cell>
        </row>
        <row r="69">
          <cell r="D69">
            <v>228</v>
          </cell>
          <cell r="E69" t="str">
            <v>Ituverava-SP</v>
          </cell>
        </row>
        <row r="70">
          <cell r="D70">
            <v>234</v>
          </cell>
          <cell r="E70" t="str">
            <v>Itumbiara-GO</v>
          </cell>
        </row>
        <row r="71">
          <cell r="D71">
            <v>231</v>
          </cell>
          <cell r="E71" t="str">
            <v>Porteirão-GO</v>
          </cell>
        </row>
        <row r="72">
          <cell r="D72">
            <v>201</v>
          </cell>
          <cell r="E72" t="str">
            <v>Ituverava-SP</v>
          </cell>
        </row>
        <row r="73">
          <cell r="D73">
            <v>235</v>
          </cell>
          <cell r="E73" t="str">
            <v>Guapirama-MT</v>
          </cell>
        </row>
        <row r="74">
          <cell r="D74">
            <v>213</v>
          </cell>
          <cell r="E74" t="str">
            <v>Bahia-BA</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CURITIZACAO"/>
      <sheetName val="resumo "/>
      <sheetName val="analitico"/>
      <sheetName val="receitas e despesas"/>
      <sheetName val="amort"/>
      <sheetName val="amort (2)"/>
      <sheetName val="flu 95"/>
      <sheetName val="flu 94"/>
    </sheetNames>
    <sheetDataSet>
      <sheetData sheetId="0"/>
      <sheetData sheetId="1"/>
      <sheetData sheetId="2"/>
      <sheetData sheetId="3"/>
      <sheetData sheetId="4"/>
      <sheetData sheetId="5"/>
      <sheetData sheetId="6"/>
      <sheetData sheetId="7"/>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 Financeiros"/>
      <sheetName val="Simulação"/>
      <sheetName val="V.Cambial Projeção"/>
      <sheetName val="Divisão Agrícola"/>
      <sheetName val="Divisão Óleo"/>
      <sheetName val="Divisão Fiação"/>
      <sheetName val="Divisão Armazéns"/>
      <sheetName val="Divisao Comercial"/>
      <sheetName val="Conselho 2,40"/>
    </sheetNames>
    <sheetDataSet>
      <sheetData sheetId="0"/>
      <sheetData sheetId="1"/>
      <sheetData sheetId="2"/>
      <sheetData sheetId="3"/>
      <sheetData sheetId="4"/>
      <sheetData sheetId="5"/>
      <sheetData sheetId="6"/>
      <sheetData sheetId="7"/>
      <sheetData sheetId="8"/>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Ind Econ e Financ"/>
      <sheetName val="PC Agrícola"/>
      <sheetName val="PC Agrícola Custos"/>
      <sheetName val="Analise Produtos"/>
      <sheetName val="Resumo Agrícola Unidade"/>
      <sheetName val=" Orçado x Simulado - Agri"/>
      <sheetName val="MT Guapirama"/>
      <sheetName val="MT São José"/>
      <sheetName val="Bahia"/>
      <sheetName val="Goiás"/>
      <sheetName val="Consol.Agrícola"/>
      <sheetName val="Investimento Agri"/>
      <sheetName val="Fluxo Caixa"/>
      <sheetName val="Encargos Orçado"/>
      <sheetName val="Encargos Projetado"/>
      <sheetName val="ACC 2006"/>
      <sheetName val="Fluxo 2006"/>
      <sheetName val="Hedge"/>
      <sheetName val="DespRec2005"/>
      <sheetName val="Encargos"/>
      <sheetName val="pass300405"/>
      <sheetName val="div300405"/>
      <sheetName val="Oleo"/>
      <sheetName val="Fiação"/>
      <sheetName val="Corporativo"/>
      <sheetName val="Consolidado"/>
      <sheetName val="Custo Pluma"/>
    </sheetNames>
    <sheetDataSet>
      <sheetData sheetId="0" refreshError="1"/>
      <sheetData sheetId="1" refreshError="1">
        <row r="14">
          <cell r="D14">
            <v>2.20459</v>
          </cell>
        </row>
      </sheetData>
      <sheetData sheetId="2" refreshError="1">
        <row r="7">
          <cell r="C7">
            <v>2.649</v>
          </cell>
        </row>
        <row r="8">
          <cell r="C8">
            <v>2.516</v>
          </cell>
        </row>
        <row r="9">
          <cell r="C9">
            <v>2.35</v>
          </cell>
        </row>
        <row r="10">
          <cell r="C10">
            <v>1</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Inicial"/>
      <sheetName val="Gastos com Pessoal"/>
      <sheetName val="Despesas Administrativas"/>
      <sheetName val="Despesas Operacionais"/>
      <sheetName val="Orçamento"/>
      <sheetName val="Fluxo Caixa"/>
      <sheetName val="Fluxo Caixa Auxiliar"/>
      <sheetName val="Conferênci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Control"/>
      <sheetName val="Updates"/>
      <sheetName val="Assumptions"/>
      <sheetName val="Volumes"/>
      <sheetName val="Revenues"/>
      <sheetName val="Prices"/>
      <sheetName val="Unit Margin"/>
      <sheetName val="Long"/>
      <sheetName val="Flat"/>
      <sheetName val="Wire"/>
      <sheetName val="PVC_Tubes"/>
      <sheetName val="PVC_Fittings"/>
      <sheetName val="Imports"/>
      <sheetName val="SG&amp;A"/>
      <sheetName val="IS"/>
      <sheetName val="BS"/>
      <sheetName val="CF "/>
      <sheetName val="WC"/>
      <sheetName val="Debt"/>
      <sheetName val="PP&amp;E"/>
      <sheetName val="DCF"/>
      <sheetName val="Equity"/>
      <sheetName val="WACC"/>
      <sheetName val="Do Not Print-&gt;"/>
      <sheetName val="Elasticity"/>
      <sheetName val="Comparison_Long"/>
      <sheetName val="Comparison_Flat"/>
      <sheetName val="Comparison_Wire"/>
      <sheetName val="Comparison_PVC Tubes"/>
      <sheetName val="Comparison_PVC Fittings"/>
      <sheetName val="Comparison_Merchant"/>
      <sheetName val="Output"/>
      <sheetName val="Capacity"/>
      <sheetName val="INCA info-&gt;"/>
      <sheetName val="FY06"/>
      <sheetName val="1Q07"/>
      <sheetName val="Macro_DR"/>
      <sheetName val="Macro_US"/>
      <sheetName val="Statistics_DR"/>
      <sheetName val="FY06_New"/>
      <sheetName val="1Q07_New"/>
      <sheetName val="Output Info Pack"/>
      <sheetName val="Proposal"/>
      <sheetName val="New Budget"/>
      <sheetName val="Real x Budget_Volumes"/>
      <sheetName val="Real x Budget_Prices"/>
      <sheetName val="Real x Budget_Revenues"/>
      <sheetName val="Assumptions_New Budget"/>
      <sheetName val="New Budget_Long"/>
      <sheetName val="New Budget_Flat"/>
      <sheetName val="New Budget_Wire"/>
      <sheetName val="New Budget_PVC_Tubes"/>
      <sheetName val="New Budget_PVC_Fittings"/>
      <sheetName val="New Budget_Imports"/>
      <sheetName val="IS_New Budget"/>
      <sheetName val="SG&amp;A_New Budet"/>
    </sheetNames>
    <sheetDataSet>
      <sheetData sheetId="0"/>
      <sheetData sheetId="1" refreshError="1">
        <row r="20">
          <cell r="F20">
            <v>1.4999999999999999E-2</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rushing "/>
      <sheetName val="Refinarias - Dif  Plantas"/>
      <sheetName val="Óleo Refinado"/>
      <sheetName val="Dif - Coml."/>
      <sheetName val="Consolidado em R$ Ceval"/>
      <sheetName val="Consolidado em US$ Ceval"/>
      <sheetName val="Bottled Oil'S"/>
      <sheetName val="Food Ingred.(Dif)"/>
      <sheetName val="Fats-Gorduras"/>
    </sheetNames>
    <sheetDataSet>
      <sheetData sheetId="0"/>
      <sheetData sheetId="1"/>
      <sheetData sheetId="2"/>
      <sheetData sheetId="3"/>
      <sheetData sheetId="4"/>
      <sheetData sheetId="5"/>
      <sheetData sheetId="6"/>
      <sheetData sheetId="7"/>
      <sheetData sheetId="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jdo"/>
      <sheetName val="Crushing "/>
      <sheetName val="Refinarias - Dif  Plantas"/>
      <sheetName val="Óleo Refinado"/>
      <sheetName val="Dif - Coml."/>
      <sheetName val="Consolidado em R$ Ceval"/>
      <sheetName val="Consolidado em US$ Ceval"/>
      <sheetName val="Bottled Oil'S"/>
      <sheetName val="Food Ingred.(Dif)"/>
      <sheetName val="Fats-Gorduras"/>
      <sheetName val="Plan2"/>
      <sheetName val="Inputs - Apoio a UP"/>
    </sheetNames>
    <sheetDataSet>
      <sheetData sheetId="0"/>
      <sheetData sheetId="1"/>
      <sheetData sheetId="2"/>
      <sheetData sheetId="3"/>
      <sheetData sheetId="4"/>
      <sheetData sheetId="5"/>
      <sheetData sheetId="6"/>
      <sheetData sheetId="7"/>
      <sheetData sheetId="8"/>
      <sheetData sheetId="9" refreshError="1"/>
      <sheetData sheetId="10" refreshError="1"/>
      <sheetData sheetId="11"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Mkt Cap"/>
      <sheetName val="WACC-ML"/>
      <sheetName val="Comps"/>
    </sheetNames>
    <sheetDataSet>
      <sheetData sheetId="0" refreshError="1"/>
      <sheetData sheetId="1" refreshError="1"/>
      <sheetData sheetId="2" refreshError="1"/>
      <sheetData sheetId="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AMOND"/>
      <sheetName val="STATIA"/>
      <sheetName val="Cover"/>
      <sheetName val="Index"/>
      <sheetName val="__FDSCACHE__"/>
      <sheetName val="Summary"/>
      <sheetName val="RevBuild"/>
      <sheetName val="ExpBuild"/>
      <sheetName val="TargetIS"/>
      <sheetName val="TargetBS"/>
      <sheetName val="Target D&amp;A"/>
      <sheetName val="Debt"/>
      <sheetName val="Taxes"/>
      <sheetName val="DCF"/>
      <sheetName val="Input"/>
      <sheetName val="ISLE Ownership"/>
      <sheetName val="RAM Ownership"/>
      <sheetName val="RAM Financials"/>
    </sheetNames>
    <sheetDataSet>
      <sheetData sheetId="0" refreshError="1"/>
      <sheetData sheetId="1" refreshError="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AV001"/>
      <sheetName val="Assum"/>
      <sheetName val="IS"/>
      <sheetName val="BSCF"/>
      <sheetName val="Ratios"/>
      <sheetName val="Returns"/>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IDD"/>
    </sheetNames>
    <sheetDataSet>
      <sheetData sheetId="0"/>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CO"/>
      <sheetName val="GYP (trim) "/>
      <sheetName val="GYP (UTtrim)"/>
      <sheetName val="Trad"/>
      <sheetName val="Variable"/>
      <sheetName val="Instructivo"/>
      <sheetName val="M.PAT"/>
      <sheetName val="Datos"/>
      <sheetName val="GYP (2)"/>
      <sheetName val="2- GYP (CA)"/>
      <sheetName val="4- GYP (UA)"/>
      <sheetName val="M.Inventarios"/>
      <sheetName val="Pto Equil"/>
      <sheetName val="Vtas-Ctos"/>
      <sheetName val="Volumen"/>
      <sheetName val="5-1-GYP"/>
      <sheetName val="6-BG (C)"/>
      <sheetName val="7-BG"/>
      <sheetName val="8-Cap.Trab."/>
      <sheetName val="9-FCL"/>
      <sheetName val="10-FCE "/>
      <sheetName val="CFE "/>
      <sheetName val="Validaciones"/>
      <sheetName val=" CDS"/>
      <sheetName val="Módulo1"/>
      <sheetName val="11-CFC"/>
    </sheetNames>
    <sheetDataSet>
      <sheetData sheetId="0" refreshError="1"/>
      <sheetData sheetId="1" refreshError="1"/>
      <sheetData sheetId="2" refreshError="1"/>
      <sheetData sheetId="3" refreshError="1"/>
      <sheetData sheetId="4"/>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sheetData sheetId="24" refreshError="1"/>
      <sheetData sheetId="25"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 Econ e Financ"/>
      <sheetName val="PC Agrícola"/>
      <sheetName val="Agri-MTGuap-Mensal"/>
      <sheetName val="PC Agrícola Custos"/>
      <sheetName val="Analise Produtos"/>
      <sheetName val="Resumo Agrícola Unidade"/>
      <sheetName val=" Orçado x Simulado - Agri"/>
      <sheetName val="MT Guapirama"/>
      <sheetName val="MT São José"/>
      <sheetName val="Bahia"/>
      <sheetName val="Goiás"/>
      <sheetName val="Consol.Agrícola"/>
      <sheetName val="Oleo Anual"/>
      <sheetName val="Oleo Mensal"/>
      <sheetName val="TRAVAMENTO-2006"/>
      <sheetName val="Tributos"/>
      <sheetName val="Fiação"/>
      <sheetName val="Fiação Mensal"/>
      <sheetName val="Corporativo"/>
      <sheetName val="Consolidado Setembro"/>
      <sheetName val="Comparativo Consolidado"/>
      <sheetName val="Posição Inicial"/>
      <sheetName val="Consolidado Unidades"/>
      <sheetName val="Simulação Planejamento 2006 - A"/>
    </sheetNames>
    <sheetDataSet>
      <sheetData sheetId="0" refreshError="1">
        <row r="14">
          <cell r="D14">
            <v>2.20459</v>
          </cell>
        </row>
        <row r="17">
          <cell r="D17">
            <v>2.3235999999999999</v>
          </cell>
        </row>
        <row r="18">
          <cell r="D18">
            <v>2.3473999999999999</v>
          </cell>
        </row>
        <row r="19">
          <cell r="D19">
            <v>2.3715000000000002</v>
          </cell>
        </row>
        <row r="20">
          <cell r="D20">
            <v>2.3959000000000001</v>
          </cell>
        </row>
        <row r="21">
          <cell r="D21">
            <v>2.4205000000000001</v>
          </cell>
        </row>
        <row r="22">
          <cell r="D22">
            <v>2.4453999999999998</v>
          </cell>
        </row>
        <row r="23">
          <cell r="D23">
            <v>2.4704999999999999</v>
          </cell>
        </row>
        <row r="24">
          <cell r="D24">
            <v>2.4958</v>
          </cell>
        </row>
        <row r="25">
          <cell r="D25">
            <v>2.5215000000000001</v>
          </cell>
        </row>
        <row r="26">
          <cell r="D26">
            <v>2.5474000000000001</v>
          </cell>
        </row>
        <row r="27">
          <cell r="D27">
            <v>2.5735000000000001</v>
          </cell>
        </row>
        <row r="28">
          <cell r="D28">
            <v>2.6</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Control"/>
      <sheetName val="Assumptions"/>
      <sheetName val="Macro"/>
      <sheetName val="Preços"/>
      <sheetName val="Projeto Bahia I"/>
      <sheetName val="Bahia I"/>
      <sheetName val="WC_Bahia I"/>
      <sheetName val="PPE_Bahia I"/>
      <sheetName val="DCF_Bahia I"/>
      <sheetName val="Capex_Bahia I"/>
      <sheetName val="Projeto Cerrado I"/>
      <sheetName val="Cerrado I"/>
      <sheetName val="WC_Cerrado I"/>
      <sheetName val="PPE_Cerrado I"/>
      <sheetName val="DCF_Cerrado I"/>
      <sheetName val="Projeto Cerrado II"/>
      <sheetName val="Cerrado II"/>
      <sheetName val="WC_Cerrado II"/>
      <sheetName val="PPE_Cerrado II"/>
      <sheetName val="DCF_Cerrado II"/>
      <sheetName val="Projeto Expansão"/>
      <sheetName val="Volume_Exp"/>
      <sheetName val="Receitas_Exp"/>
      <sheetName val="Custos_Exp"/>
      <sheetName val="IS_Exp"/>
      <sheetName val="WC_Expansao"/>
      <sheetName val="PPE_Expansao"/>
      <sheetName val="DCF_Expansao"/>
      <sheetName val="Capex_Expansão"/>
      <sheetName val="Projetos Atuais"/>
      <sheetName val="Volume"/>
      <sheetName val="Receitas"/>
      <sheetName val="Custos"/>
      <sheetName val="IS"/>
      <sheetName val="WC_Atuais"/>
      <sheetName val="PPE_Atuais"/>
      <sheetName val="DCF_Atuais"/>
      <sheetName val="Combined"/>
      <sheetName val="IS Combined"/>
      <sheetName val="BS Combined"/>
      <sheetName val="CF Combined"/>
      <sheetName val="WC Combined"/>
      <sheetName val="Schedules Combined"/>
      <sheetName val="Resumo"/>
      <sheetName val="DCF_Combined"/>
    </sheetNames>
    <sheetDataSet>
      <sheetData sheetId="0"/>
      <sheetData sheetId="1" refreshError="1">
        <row r="13">
          <cell r="G13">
            <v>1</v>
          </cell>
        </row>
        <row r="16">
          <cell r="G16">
            <v>1</v>
          </cell>
        </row>
        <row r="19">
          <cell r="G19">
            <v>1</v>
          </cell>
        </row>
        <row r="22">
          <cell r="G22">
            <v>1</v>
          </cell>
        </row>
        <row r="25">
          <cell r="G25">
            <v>1</v>
          </cell>
        </row>
        <row r="36">
          <cell r="G36">
            <v>0.02</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E"/>
      <sheetName val="calculo indicadores"/>
      <sheetName val="FORMULAS"/>
    </sheetNames>
    <sheetDataSet>
      <sheetData sheetId="0" refreshError="1"/>
      <sheetData sheetId="1" refreshError="1">
        <row r="7">
          <cell r="D7">
            <v>35796</v>
          </cell>
        </row>
      </sheetData>
      <sheetData sheetId="2" refreshError="1"/>
    </sheetDataSet>
  </externalBook>
</externalLink>
</file>

<file path=xl/persons/person.xml><?xml version="1.0" encoding="utf-8"?>
<personList xmlns="http://schemas.microsoft.com/office/spreadsheetml/2018/threadedcomments" xmlns:x="http://schemas.openxmlformats.org/spreadsheetml/2006/main">
  <person displayName="Stefano Bing - SLC Agrícola" id="{DCD34145-0ED0-43A3-8F5B-EEFFB586A9DF}" userId="S::stefano.bing@slcagricola.com.br::994fde1a-e65f-4ad4-962e-9db9db243224" providerId="AD"/>
  <person displayName="Alisandra Reis - SLC Agrícola" id="{4FBBE9CF-86BF-4CC8-8B40-005C449D42E2}" userId="S::alisandra.reis@slcagricola.com.br::34459b8d-f3f7-4831-9fd6-d6bec9b6dee5" providerId="AD"/>
  <person displayName="Alisandra Matos - SLC Agricola" id="{2B0265CE-6741-4DDD-AEA0-A45586C339CE}" userId="S::alisandra.matos@slcagricola.com.br::34459b8d-f3f7-4831-9fd6-d6bec9b6dee5" providerId="AD"/>
</personList>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L7" dT="2020-05-25T20:25:51.98" personId="{2B0265CE-6741-4DDD-AEA0-A45586C339CE}" id="{0BCB065C-2A04-4579-AA19-809D4C61962A}">
    <text>Safra 2019/20</text>
  </threadedComment>
  <threadedComment ref="M7" dT="2020-12-18T19:36:12.34" personId="{4FBBE9CF-86BF-4CC8-8B40-005C449D42E2}" id="{833548C4-2458-4638-A8E1-030B2436C66D}">
    <text>Safra 20/21</text>
  </threadedComment>
  <threadedComment ref="N7" dT="2021-12-07T19:30:15.10" personId="{DCD34145-0ED0-43A3-8F5B-EEFFB586A9DF}" id="{303583A9-B105-4679-BED9-47855687E117}">
    <text>Ano Safra 21/22
Crop year 21/22</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0.xml"/><Relationship Id="rId1" Type="http://schemas.openxmlformats.org/officeDocument/2006/relationships/printerSettings" Target="../printerSettings/printerSettings10.bin"/><Relationship Id="rId4" Type="http://schemas.openxmlformats.org/officeDocument/2006/relationships/comments" Target="../comments3.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Planilha1"/>
  <dimension ref="A1:Z41"/>
  <sheetViews>
    <sheetView showGridLines="0" tabSelected="1" zoomScale="80" zoomScaleNormal="80" workbookViewId="0"/>
  </sheetViews>
  <sheetFormatPr defaultColWidth="0" defaultRowHeight="12.75" zeroHeight="1"/>
  <cols>
    <col min="1" max="1" width="10" customWidth="1"/>
    <col min="2" max="2" width="8.28515625" customWidth="1"/>
    <col min="3" max="7" width="9.140625" customWidth="1"/>
    <col min="8" max="8" width="11.85546875" customWidth="1"/>
    <col min="9" max="9" width="5.42578125" customWidth="1"/>
    <col min="10" max="17" width="9.140625" customWidth="1"/>
    <col min="18" max="18" width="5" customWidth="1"/>
    <col min="19" max="26" width="9.140625" customWidth="1"/>
  </cols>
  <sheetData>
    <row r="1" spans="1:10" ht="20.25">
      <c r="A1" s="517"/>
      <c r="B1" s="509"/>
      <c r="C1" s="509"/>
      <c r="D1" s="509"/>
      <c r="E1" s="509"/>
      <c r="F1" s="509"/>
      <c r="G1" s="509"/>
      <c r="H1" s="509"/>
      <c r="I1" s="509"/>
      <c r="J1" s="510"/>
    </row>
    <row r="2" spans="1:10" ht="12.75" customHeight="1">
      <c r="A2" s="510"/>
      <c r="B2" s="511"/>
      <c r="C2" s="511"/>
      <c r="D2" s="511"/>
      <c r="E2" s="511"/>
      <c r="F2" s="511"/>
      <c r="G2" s="510"/>
      <c r="H2" s="510"/>
      <c r="I2" s="510"/>
      <c r="J2" s="510"/>
    </row>
    <row r="3" spans="1:10" ht="12.75" customHeight="1">
      <c r="A3" s="512"/>
      <c r="B3" s="511"/>
      <c r="C3" s="511"/>
      <c r="D3" s="511"/>
      <c r="E3" s="511"/>
      <c r="F3" s="511"/>
      <c r="G3" s="510"/>
      <c r="H3" s="510"/>
      <c r="I3" s="510"/>
      <c r="J3" s="510"/>
    </row>
    <row r="4" spans="1:10" ht="12.75" customHeight="1">
      <c r="A4" s="510"/>
      <c r="B4" s="511"/>
      <c r="C4" s="511"/>
      <c r="D4" s="511"/>
      <c r="E4" s="511"/>
      <c r="F4" s="511"/>
      <c r="G4" s="510"/>
      <c r="H4" s="510"/>
      <c r="I4" s="510"/>
      <c r="J4" s="510"/>
    </row>
    <row r="5" spans="1:10" ht="20.25" customHeight="1">
      <c r="A5" s="510"/>
      <c r="B5" s="565" t="s">
        <v>83</v>
      </c>
      <c r="C5" s="565"/>
      <c r="D5" s="565"/>
      <c r="E5" s="565"/>
      <c r="F5" s="565"/>
      <c r="G5" s="565"/>
      <c r="H5" s="510"/>
      <c r="I5" s="510"/>
      <c r="J5" s="510"/>
    </row>
    <row r="6" spans="1:10" ht="23.25" customHeight="1">
      <c r="A6" s="510"/>
      <c r="B6" s="565"/>
      <c r="C6" s="565"/>
      <c r="D6" s="565"/>
      <c r="E6" s="565"/>
      <c r="F6" s="565"/>
      <c r="G6" s="565"/>
      <c r="H6" s="510"/>
      <c r="I6" s="510"/>
      <c r="J6" s="510"/>
    </row>
    <row r="7" spans="1:10">
      <c r="A7" s="510"/>
      <c r="B7" s="510"/>
      <c r="C7" s="510"/>
      <c r="D7" s="510"/>
      <c r="E7" s="510"/>
      <c r="F7" s="510"/>
      <c r="G7" s="510"/>
      <c r="H7" s="510"/>
      <c r="I7" s="510"/>
      <c r="J7" s="510"/>
    </row>
    <row r="8" spans="1:10">
      <c r="A8" s="510"/>
      <c r="B8" s="510"/>
      <c r="C8" s="510"/>
      <c r="D8" s="510"/>
      <c r="E8" s="510"/>
      <c r="F8" s="510"/>
      <c r="G8" s="510"/>
      <c r="H8" s="510"/>
      <c r="I8" s="510"/>
      <c r="J8" s="510"/>
    </row>
    <row r="9" spans="1:10">
      <c r="A9" s="510"/>
      <c r="B9" s="510"/>
      <c r="C9" s="510"/>
      <c r="D9" s="510"/>
      <c r="E9" s="510"/>
      <c r="F9" s="510"/>
      <c r="G9" s="510"/>
      <c r="H9" s="510"/>
      <c r="I9" s="510"/>
      <c r="J9" s="510"/>
    </row>
    <row r="10" spans="1:10" ht="12.75" customHeight="1">
      <c r="A10" s="510"/>
      <c r="B10" s="510"/>
      <c r="C10" s="510"/>
      <c r="D10" s="510"/>
      <c r="E10" s="510"/>
      <c r="F10" s="510"/>
      <c r="G10" s="510"/>
      <c r="H10" s="510"/>
      <c r="I10" s="510"/>
      <c r="J10" s="510"/>
    </row>
    <row r="11" spans="1:10" ht="12.75" customHeight="1">
      <c r="A11" s="510"/>
      <c r="B11" s="510"/>
      <c r="C11" s="510"/>
      <c r="D11" s="510"/>
      <c r="E11" s="510"/>
      <c r="F11" s="510"/>
      <c r="G11" s="510"/>
      <c r="H11" s="510"/>
      <c r="I11" s="510"/>
      <c r="J11" s="510"/>
    </row>
    <row r="12" spans="1:10">
      <c r="A12" s="510"/>
      <c r="B12" s="510"/>
      <c r="C12" s="510"/>
      <c r="D12" s="510"/>
      <c r="E12" s="510"/>
      <c r="F12" s="510"/>
      <c r="G12" s="510"/>
      <c r="H12" s="510"/>
      <c r="I12" s="510"/>
      <c r="J12" s="510"/>
    </row>
    <row r="13" spans="1:10">
      <c r="A13" s="510"/>
      <c r="B13" s="510"/>
      <c r="C13" s="510"/>
      <c r="D13" s="510"/>
      <c r="E13" s="510"/>
      <c r="F13" s="510"/>
      <c r="G13" s="510"/>
      <c r="H13" s="510"/>
      <c r="I13" s="510"/>
      <c r="J13" s="510"/>
    </row>
    <row r="14" spans="1:10">
      <c r="A14" s="510"/>
      <c r="B14" s="510"/>
      <c r="C14" s="510"/>
      <c r="D14" s="510"/>
      <c r="E14" s="510"/>
      <c r="F14" s="510"/>
      <c r="G14" s="510"/>
      <c r="H14" s="510"/>
      <c r="I14" s="510"/>
      <c r="J14" s="510"/>
    </row>
    <row r="15" spans="1:10">
      <c r="A15" s="510"/>
      <c r="B15" s="510"/>
      <c r="C15" s="510"/>
      <c r="D15" s="510"/>
      <c r="E15" s="510"/>
      <c r="F15" s="510"/>
      <c r="G15" s="510"/>
      <c r="H15" s="510"/>
      <c r="I15" s="510"/>
      <c r="J15" s="510"/>
    </row>
    <row r="16" spans="1:10">
      <c r="A16" s="510"/>
      <c r="B16" s="510"/>
      <c r="C16" s="510"/>
      <c r="D16" s="510"/>
      <c r="E16" s="510"/>
      <c r="F16" s="510"/>
      <c r="G16" s="510"/>
      <c r="H16" s="510"/>
      <c r="I16" s="510"/>
      <c r="J16" s="510"/>
    </row>
    <row r="17" spans="1:10">
      <c r="A17" s="510"/>
      <c r="B17" s="510"/>
      <c r="C17" s="510"/>
      <c r="D17" s="510"/>
      <c r="E17" s="510"/>
      <c r="F17" s="510"/>
      <c r="G17" s="510"/>
      <c r="H17" s="510"/>
      <c r="I17" s="510"/>
      <c r="J17" s="510"/>
    </row>
    <row r="18" spans="1:10">
      <c r="A18" s="510"/>
      <c r="B18" s="510"/>
      <c r="C18" s="510"/>
      <c r="D18" s="510"/>
      <c r="E18" s="510"/>
      <c r="F18" s="510"/>
      <c r="G18" s="510"/>
      <c r="H18" s="510"/>
      <c r="I18" s="510"/>
      <c r="J18" s="510"/>
    </row>
    <row r="19" spans="1:10" ht="20.25">
      <c r="A19" s="518"/>
      <c r="B19" s="510"/>
      <c r="C19" s="510"/>
      <c r="D19" s="510"/>
      <c r="E19" s="510"/>
      <c r="F19" s="510"/>
      <c r="G19" s="510"/>
      <c r="H19" s="510"/>
      <c r="I19" s="510"/>
      <c r="J19" s="510"/>
    </row>
    <row r="20" spans="1:10" ht="20.25">
      <c r="A20" s="513"/>
      <c r="B20" s="510"/>
      <c r="C20" s="510"/>
      <c r="D20" s="510"/>
      <c r="E20" s="510"/>
      <c r="F20" s="510"/>
      <c r="G20" s="510"/>
      <c r="H20" s="510"/>
      <c r="I20" s="510"/>
      <c r="J20" s="510"/>
    </row>
    <row r="21" spans="1:10" ht="20.25">
      <c r="A21" s="513"/>
      <c r="B21" s="510"/>
      <c r="C21" s="510"/>
      <c r="D21" s="510"/>
      <c r="E21" s="510"/>
      <c r="F21" s="510"/>
      <c r="G21" s="510"/>
      <c r="H21" s="510"/>
      <c r="I21" s="510"/>
      <c r="J21" s="510"/>
    </row>
    <row r="22" spans="1:10">
      <c r="A22" s="510"/>
      <c r="B22" s="510"/>
      <c r="C22" s="510"/>
      <c r="D22" s="510"/>
      <c r="E22" s="510"/>
      <c r="F22" s="510"/>
      <c r="G22" s="510"/>
      <c r="H22" s="510"/>
      <c r="I22" s="510"/>
      <c r="J22" s="510"/>
    </row>
    <row r="23" spans="1:10" ht="20.25">
      <c r="A23" s="513"/>
      <c r="B23" s="510"/>
      <c r="C23" s="510"/>
      <c r="D23" s="510"/>
      <c r="E23" s="510"/>
      <c r="F23" s="510"/>
      <c r="G23" s="510"/>
      <c r="H23" s="510"/>
      <c r="I23" s="510"/>
      <c r="J23" s="510"/>
    </row>
    <row r="24" spans="1:10" ht="20.25">
      <c r="A24" s="513"/>
      <c r="B24" s="510"/>
      <c r="C24" s="510"/>
      <c r="D24" s="510"/>
      <c r="E24" s="510"/>
      <c r="F24" s="510"/>
      <c r="G24" s="514"/>
      <c r="H24" s="510"/>
      <c r="I24" s="510"/>
      <c r="J24" s="510"/>
    </row>
    <row r="25" spans="1:10" s="495" customFormat="1" ht="18.75">
      <c r="A25" s="515"/>
      <c r="B25" s="514"/>
      <c r="C25" s="516"/>
      <c r="D25" s="515"/>
      <c r="E25" s="515"/>
      <c r="F25" s="515"/>
      <c r="G25" s="515"/>
      <c r="H25" s="515"/>
      <c r="I25" s="515"/>
      <c r="J25" s="515"/>
    </row>
    <row r="26" spans="1:10">
      <c r="A26" s="510"/>
      <c r="B26" s="510"/>
      <c r="C26" s="510"/>
      <c r="D26" s="510"/>
      <c r="E26" s="510"/>
      <c r="F26" s="510"/>
      <c r="G26" s="510"/>
      <c r="H26" s="510"/>
      <c r="I26" s="510"/>
      <c r="J26" s="510"/>
    </row>
    <row r="27" spans="1:10">
      <c r="A27" s="510"/>
      <c r="B27" s="510"/>
      <c r="C27" s="510"/>
      <c r="D27" s="510"/>
      <c r="E27" s="510"/>
      <c r="F27" s="510"/>
      <c r="G27" s="510"/>
      <c r="H27" s="510"/>
      <c r="I27" s="510"/>
      <c r="J27" s="510"/>
    </row>
    <row r="28" spans="1:10" hidden="1">
      <c r="A28" s="510"/>
      <c r="B28" s="510"/>
      <c r="C28" s="510"/>
      <c r="D28" s="510"/>
      <c r="E28" s="510"/>
      <c r="F28" s="510"/>
      <c r="G28" s="510"/>
      <c r="H28" s="510"/>
      <c r="I28" s="510"/>
      <c r="J28" s="510"/>
    </row>
    <row r="29" spans="1:10" hidden="1">
      <c r="A29" s="510"/>
      <c r="B29" s="510"/>
      <c r="C29" s="510"/>
      <c r="D29" s="510"/>
      <c r="E29" s="510"/>
      <c r="F29" s="510"/>
      <c r="G29" s="510"/>
      <c r="H29" s="510"/>
      <c r="I29" s="510"/>
      <c r="J29" s="510"/>
    </row>
    <row r="30" spans="1:10" hidden="1">
      <c r="A30" s="510"/>
      <c r="B30" s="510"/>
      <c r="C30" s="510"/>
      <c r="D30" s="510"/>
      <c r="E30" s="510"/>
      <c r="F30" s="510"/>
      <c r="G30" s="510"/>
      <c r="H30" s="510"/>
      <c r="I30" s="510"/>
      <c r="J30" s="510"/>
    </row>
    <row r="31" spans="1:10" hidden="1">
      <c r="A31" s="510"/>
      <c r="B31" s="510"/>
      <c r="C31" s="510"/>
      <c r="D31" s="510"/>
      <c r="E31" s="510"/>
      <c r="F31" s="510"/>
      <c r="G31" s="510"/>
      <c r="H31" s="510"/>
      <c r="I31" s="510"/>
      <c r="J31" s="510"/>
    </row>
    <row r="32" spans="1:10" hidden="1">
      <c r="A32" s="510"/>
      <c r="B32" s="510"/>
      <c r="C32" s="510"/>
      <c r="D32" s="510"/>
      <c r="E32" s="510"/>
      <c r="F32" s="510"/>
      <c r="G32" s="510"/>
      <c r="H32" s="510"/>
      <c r="I32" s="510"/>
      <c r="J32" s="510"/>
    </row>
    <row r="33" spans="1:26" hidden="1">
      <c r="A33" s="510"/>
      <c r="B33" s="510"/>
      <c r="C33" s="510"/>
      <c r="D33" s="510"/>
      <c r="E33" s="510"/>
      <c r="F33" s="510"/>
      <c r="G33" s="510"/>
      <c r="H33" s="510"/>
      <c r="I33" s="510"/>
      <c r="J33" s="510"/>
    </row>
    <row r="34" spans="1:26" hidden="1">
      <c r="A34" s="510"/>
      <c r="B34" s="510"/>
      <c r="C34" s="510"/>
      <c r="D34" s="510"/>
      <c r="E34" s="510"/>
      <c r="F34" s="510"/>
      <c r="G34" s="510"/>
      <c r="H34" s="510"/>
      <c r="I34" s="510"/>
      <c r="J34" s="510"/>
    </row>
    <row r="35" spans="1:26" hidden="1">
      <c r="A35" s="510"/>
      <c r="B35" s="510"/>
      <c r="C35" s="510"/>
      <c r="D35" s="510"/>
      <c r="E35" s="510"/>
      <c r="F35" s="510"/>
      <c r="G35" s="510"/>
      <c r="H35" s="510"/>
      <c r="I35" s="510"/>
      <c r="J35" s="510"/>
    </row>
    <row r="36" spans="1:26" hidden="1">
      <c r="A36" s="510"/>
      <c r="B36" s="510"/>
      <c r="C36" s="510"/>
      <c r="D36" s="510"/>
      <c r="E36" s="510"/>
      <c r="F36" s="510"/>
      <c r="G36" s="510"/>
      <c r="H36" s="510"/>
      <c r="I36" s="510"/>
      <c r="J36" s="510"/>
    </row>
    <row r="37" spans="1:26" hidden="1">
      <c r="A37" s="510"/>
      <c r="B37" s="510"/>
      <c r="C37" s="510"/>
      <c r="D37" s="510"/>
      <c r="E37" s="510"/>
      <c r="F37" s="510"/>
      <c r="G37" s="510"/>
      <c r="H37" s="510"/>
      <c r="I37" s="510"/>
      <c r="J37" s="510"/>
    </row>
    <row r="38" spans="1:26" hidden="1">
      <c r="A38" s="510"/>
      <c r="B38" s="510"/>
      <c r="C38" s="510"/>
      <c r="D38" s="510"/>
      <c r="E38" s="510"/>
      <c r="F38" s="510"/>
      <c r="G38" s="510"/>
      <c r="H38" s="510"/>
      <c r="I38" s="510"/>
      <c r="J38" s="510"/>
    </row>
    <row r="39" spans="1:26" hidden="1">
      <c r="A39" s="510"/>
      <c r="B39" s="510"/>
      <c r="C39" s="510"/>
      <c r="D39" s="510"/>
      <c r="E39" s="510"/>
      <c r="F39" s="510"/>
      <c r="G39" s="510"/>
      <c r="H39" s="510"/>
      <c r="I39" s="510"/>
      <c r="J39" s="510"/>
    </row>
    <row r="40" spans="1:26">
      <c r="A40" s="510"/>
      <c r="B40" s="510"/>
      <c r="C40" s="510"/>
      <c r="D40" s="510"/>
      <c r="E40" s="510"/>
      <c r="F40" s="510"/>
      <c r="G40" s="510"/>
      <c r="H40" s="510"/>
      <c r="I40" s="510"/>
      <c r="J40" s="510"/>
      <c r="K40" s="510"/>
      <c r="L40" s="510"/>
      <c r="M40" s="510"/>
      <c r="N40" s="510"/>
      <c r="O40" s="510"/>
      <c r="P40" s="510"/>
      <c r="Q40" s="510"/>
      <c r="R40" s="510"/>
      <c r="S40" s="510"/>
      <c r="T40" s="510"/>
      <c r="U40" s="510"/>
      <c r="V40" s="510"/>
      <c r="W40" s="510"/>
      <c r="X40" s="510"/>
      <c r="Y40" s="510"/>
      <c r="Z40" s="510"/>
    </row>
    <row r="41" spans="1:26">
      <c r="A41" s="510"/>
      <c r="B41" s="510"/>
      <c r="C41" s="510"/>
      <c r="D41" s="510"/>
      <c r="E41" s="510"/>
      <c r="F41" s="510"/>
      <c r="G41" s="510"/>
      <c r="H41" s="510"/>
      <c r="I41" s="510"/>
      <c r="J41" s="510"/>
      <c r="K41" s="510"/>
      <c r="L41" s="510"/>
      <c r="M41" s="510"/>
      <c r="N41" s="510"/>
      <c r="O41" s="510"/>
      <c r="P41" s="510"/>
      <c r="Q41" s="510"/>
      <c r="R41" s="510"/>
      <c r="S41" s="510"/>
      <c r="T41" s="510"/>
      <c r="U41" s="510"/>
      <c r="V41" s="510"/>
      <c r="W41" s="510"/>
      <c r="X41" s="510"/>
      <c r="Y41" s="510"/>
      <c r="Z41" s="510"/>
    </row>
  </sheetData>
  <mergeCells count="1">
    <mergeCell ref="B5:G6"/>
  </mergeCells>
  <phoneticPr fontId="3" type="noConversion"/>
  <pageMargins left="0.78740157499999996" right="0.78740157499999996" top="0.984251969" bottom="0.984251969" header="0.49212598499999999" footer="0.49212598499999999"/>
  <pageSetup paperSize="9"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Plan65"/>
  <dimension ref="A1:N39"/>
  <sheetViews>
    <sheetView showGridLines="0" zoomScaleNormal="100" workbookViewId="0">
      <pane xSplit="1" ySplit="4" topLeftCell="B17" activePane="bottomRight" state="frozen"/>
      <selection pane="topRight" activeCell="B1" sqref="B1"/>
      <selection pane="bottomLeft" activeCell="A5" sqref="A5"/>
      <selection pane="bottomRight" activeCell="E30" sqref="E30"/>
    </sheetView>
  </sheetViews>
  <sheetFormatPr defaultColWidth="0" defaultRowHeight="15"/>
  <cols>
    <col min="1" max="1" width="3.42578125" style="176" customWidth="1"/>
    <col min="2" max="2" width="33.42578125" style="178" bestFit="1" customWidth="1"/>
    <col min="3" max="3" width="7.140625" style="178" bestFit="1" customWidth="1"/>
    <col min="4" max="4" width="5.140625" style="178" customWidth="1"/>
    <col min="5" max="5" width="10.7109375" style="178" bestFit="1" customWidth="1"/>
    <col min="6" max="6" width="3.7109375" style="178" customWidth="1"/>
    <col min="7" max="7" width="8.85546875" style="178" bestFit="1" customWidth="1"/>
    <col min="8" max="13" width="7.7109375" style="178" bestFit="1" customWidth="1"/>
    <col min="14" max="14" width="9.85546875" style="178" bestFit="1" customWidth="1"/>
    <col min="15" max="15" width="3.28515625" style="178" customWidth="1"/>
    <col min="16" max="16384" width="0" style="178" hidden="1"/>
  </cols>
  <sheetData>
    <row r="1" spans="1:14" s="45" customFormat="1" ht="21.75" customHeight="1">
      <c r="A1" s="172"/>
      <c r="B1" s="154" t="s">
        <v>2</v>
      </c>
      <c r="C1" s="182"/>
      <c r="D1" s="182"/>
      <c r="E1" s="183"/>
      <c r="F1" s="183"/>
      <c r="G1" s="183"/>
      <c r="H1" s="183"/>
      <c r="I1" s="183"/>
      <c r="J1" s="183"/>
      <c r="K1" s="183"/>
      <c r="L1" s="183"/>
      <c r="M1" s="183"/>
      <c r="N1" s="183"/>
    </row>
    <row r="2" spans="1:14" s="45" customFormat="1" ht="16.5" customHeight="1">
      <c r="A2" s="101"/>
      <c r="B2" s="161" t="s">
        <v>29</v>
      </c>
      <c r="C2" s="182"/>
      <c r="D2" s="182"/>
      <c r="E2" s="183"/>
      <c r="F2" s="183"/>
      <c r="G2" s="183"/>
      <c r="H2" s="146"/>
      <c r="I2" s="146"/>
      <c r="J2" s="146"/>
      <c r="K2" s="146"/>
      <c r="L2" s="146"/>
      <c r="M2" s="146"/>
      <c r="N2" s="146"/>
    </row>
    <row r="3" spans="1:14" s="45" customFormat="1" ht="24" customHeight="1">
      <c r="A3" s="101"/>
      <c r="B3" s="100"/>
    </row>
    <row r="4" spans="1:14" s="174" customFormat="1" ht="5.25" customHeight="1" thickBot="1">
      <c r="A4" s="173"/>
      <c r="B4" s="175"/>
      <c r="C4" s="175"/>
      <c r="D4" s="175"/>
      <c r="E4" s="175"/>
      <c r="F4" s="175"/>
      <c r="G4" s="175"/>
      <c r="H4" s="175"/>
      <c r="I4" s="175"/>
      <c r="J4" s="175"/>
      <c r="K4" s="175"/>
      <c r="L4" s="175"/>
      <c r="M4" s="175"/>
      <c r="N4" s="175"/>
    </row>
    <row r="5" spans="1:14" s="174" customFormat="1" ht="9.75" customHeight="1">
      <c r="A5" s="173"/>
    </row>
    <row r="6" spans="1:14" ht="14.25" customHeight="1">
      <c r="B6" s="253" t="s">
        <v>281</v>
      </c>
      <c r="C6" s="253"/>
      <c r="D6" s="185"/>
      <c r="E6" s="188"/>
      <c r="F6" s="188"/>
      <c r="G6" s="188"/>
      <c r="H6" s="186"/>
      <c r="I6" s="186"/>
      <c r="J6" s="186"/>
      <c r="K6" s="186"/>
      <c r="L6" s="186"/>
      <c r="M6" s="186"/>
      <c r="N6" s="186"/>
    </row>
    <row r="7" spans="1:14" ht="14.25" customHeight="1">
      <c r="B7" s="184" t="s">
        <v>164</v>
      </c>
      <c r="C7" s="486">
        <f>Assumptions!M231</f>
        <v>0.43411188359333597</v>
      </c>
      <c r="D7" s="187"/>
      <c r="E7" s="188"/>
      <c r="F7" s="188"/>
      <c r="G7" s="188"/>
      <c r="H7" s="186"/>
      <c r="I7" s="186"/>
      <c r="J7" s="186"/>
      <c r="K7" s="186"/>
      <c r="L7" s="186"/>
      <c r="M7" s="186"/>
      <c r="N7" s="186"/>
    </row>
    <row r="8" spans="1:14" ht="14.25" customHeight="1">
      <c r="B8" s="184" t="s">
        <v>165</v>
      </c>
      <c r="C8" s="486">
        <f>Assumptions!M232</f>
        <v>0.56588811640666403</v>
      </c>
      <c r="D8" s="187"/>
      <c r="E8" s="349"/>
      <c r="F8" s="349"/>
      <c r="G8" s="349"/>
      <c r="H8" s="186"/>
      <c r="I8" s="186"/>
      <c r="J8" s="186"/>
      <c r="K8" s="186"/>
      <c r="L8" s="186"/>
      <c r="M8" s="186"/>
      <c r="N8" s="186"/>
    </row>
    <row r="9" spans="1:14" ht="14.25" customHeight="1">
      <c r="B9" s="186" t="s">
        <v>166</v>
      </c>
      <c r="C9" s="369">
        <f>C7+C8</f>
        <v>1</v>
      </c>
      <c r="D9" s="160"/>
      <c r="H9" s="186"/>
      <c r="I9" s="186"/>
      <c r="J9" s="186"/>
      <c r="K9" s="186"/>
      <c r="L9" s="186"/>
      <c r="M9" s="186"/>
      <c r="N9" s="186"/>
    </row>
    <row r="10" spans="1:14" ht="14.25" customHeight="1">
      <c r="B10" s="184" t="s">
        <v>167</v>
      </c>
      <c r="C10" s="486">
        <f>Assumptions!M234</f>
        <v>0</v>
      </c>
      <c r="D10" s="189"/>
      <c r="H10" s="186"/>
      <c r="I10" s="186"/>
      <c r="J10" s="186"/>
      <c r="K10" s="186"/>
      <c r="L10" s="186"/>
      <c r="M10" s="186"/>
      <c r="N10" s="186"/>
    </row>
    <row r="11" spans="1:14" ht="14.25" customHeight="1">
      <c r="B11" s="190" t="s">
        <v>30</v>
      </c>
      <c r="C11" s="369">
        <f>Assumptions!M235</f>
        <v>0</v>
      </c>
      <c r="D11" s="254"/>
      <c r="H11" s="186"/>
      <c r="I11" s="186"/>
      <c r="J11" s="186"/>
      <c r="K11" s="186"/>
      <c r="L11" s="186"/>
      <c r="M11" s="186"/>
      <c r="N11" s="186"/>
    </row>
    <row r="12" spans="1:14" ht="14.25" customHeight="1">
      <c r="B12" s="190" t="s">
        <v>31</v>
      </c>
      <c r="C12" s="369">
        <f>Assumptions!M236</f>
        <v>0</v>
      </c>
      <c r="D12" s="254"/>
      <c r="H12" s="186"/>
      <c r="I12" s="186"/>
      <c r="J12" s="186"/>
      <c r="K12" s="186"/>
      <c r="L12" s="186"/>
      <c r="M12" s="186"/>
      <c r="N12" s="186"/>
    </row>
    <row r="13" spans="1:14" ht="14.25" customHeight="1">
      <c r="B13" s="190" t="s">
        <v>168</v>
      </c>
      <c r="C13" s="369">
        <f>Assumptions!M237</f>
        <v>0</v>
      </c>
      <c r="D13" s="254"/>
      <c r="H13" s="186"/>
      <c r="I13" s="186"/>
      <c r="J13" s="186"/>
      <c r="K13" s="186"/>
      <c r="L13" s="186"/>
      <c r="M13" s="186"/>
      <c r="N13" s="186"/>
    </row>
    <row r="14" spans="1:14" ht="14.25" customHeight="1">
      <c r="B14" s="190" t="s">
        <v>32</v>
      </c>
      <c r="C14" s="369">
        <f>Assumptions!M238</f>
        <v>0</v>
      </c>
      <c r="D14" s="254"/>
      <c r="H14" s="186"/>
      <c r="I14" s="186"/>
      <c r="J14" s="186"/>
      <c r="K14" s="186"/>
      <c r="L14" s="186"/>
      <c r="M14" s="186"/>
      <c r="N14" s="186"/>
    </row>
    <row r="15" spans="1:14" ht="14.25" customHeight="1">
      <c r="B15" s="190" t="s">
        <v>33</v>
      </c>
      <c r="C15" s="369">
        <f>Assumptions!M239</f>
        <v>0</v>
      </c>
      <c r="D15" s="104"/>
      <c r="H15" s="186"/>
      <c r="I15" s="186"/>
      <c r="J15" s="186"/>
      <c r="K15" s="186"/>
      <c r="L15" s="186"/>
      <c r="M15" s="186"/>
      <c r="N15" s="186"/>
    </row>
    <row r="16" spans="1:14" ht="14.25" customHeight="1">
      <c r="B16" s="184" t="s">
        <v>169</v>
      </c>
      <c r="C16" s="486">
        <f>C11+C13+C12+(C14*C15)</f>
        <v>0</v>
      </c>
      <c r="D16" s="187"/>
      <c r="H16" s="186"/>
      <c r="I16" s="186"/>
      <c r="J16" s="186"/>
      <c r="K16" s="186"/>
      <c r="L16" s="186"/>
      <c r="M16" s="186"/>
      <c r="N16" s="186"/>
    </row>
    <row r="17" spans="1:14" ht="14.25" customHeight="1">
      <c r="B17" s="186" t="s">
        <v>170</v>
      </c>
      <c r="C17" s="369">
        <f>Assumptions!M241</f>
        <v>0</v>
      </c>
      <c r="D17" s="160"/>
      <c r="H17" s="186"/>
      <c r="I17" s="186"/>
      <c r="J17" s="186"/>
      <c r="K17" s="186"/>
      <c r="L17" s="186"/>
      <c r="M17" s="186"/>
      <c r="N17" s="186"/>
    </row>
    <row r="18" spans="1:14" s="177" customFormat="1" ht="14.25" customHeight="1">
      <c r="A18" s="179"/>
      <c r="B18" s="253" t="s">
        <v>34</v>
      </c>
      <c r="C18" s="392">
        <f>(1-C17)*(C7*C10)+(C8*C16)</f>
        <v>0</v>
      </c>
      <c r="D18" s="160"/>
      <c r="E18" s="178"/>
      <c r="F18" s="178"/>
      <c r="G18" s="178"/>
      <c r="H18" s="186"/>
      <c r="I18" s="186"/>
      <c r="J18" s="186"/>
      <c r="K18" s="186"/>
      <c r="L18" s="186"/>
      <c r="M18" s="186"/>
      <c r="N18" s="186"/>
    </row>
    <row r="19" spans="1:14" ht="14.25" customHeight="1">
      <c r="B19" s="481" t="s">
        <v>171</v>
      </c>
      <c r="C19" s="369">
        <f>Assumptions!M243</f>
        <v>0</v>
      </c>
      <c r="D19" s="255"/>
      <c r="H19" s="186"/>
      <c r="I19" s="186"/>
      <c r="J19" s="186"/>
      <c r="K19" s="186"/>
      <c r="L19" s="186"/>
      <c r="M19" s="186"/>
      <c r="N19" s="186"/>
    </row>
    <row r="20" spans="1:14" ht="12" customHeight="1">
      <c r="B20" s="186"/>
      <c r="C20" s="192"/>
      <c r="D20" s="192"/>
    </row>
    <row r="21" spans="1:14" ht="15" customHeight="1">
      <c r="B21" s="253" t="s">
        <v>282</v>
      </c>
      <c r="C21" s="257"/>
      <c r="D21" s="257"/>
      <c r="E21" s="256"/>
      <c r="F21" s="256"/>
      <c r="G21" s="256"/>
      <c r="H21" s="256" t="s">
        <v>43</v>
      </c>
      <c r="I21" s="256" t="s">
        <v>44</v>
      </c>
      <c r="J21" s="256" t="s">
        <v>50</v>
      </c>
      <c r="K21" s="256" t="s">
        <v>51</v>
      </c>
      <c r="L21" s="256" t="s">
        <v>77</v>
      </c>
      <c r="M21" s="256" t="s">
        <v>78</v>
      </c>
      <c r="N21" s="256" t="s">
        <v>79</v>
      </c>
    </row>
    <row r="22" spans="1:14" ht="15" customHeight="1">
      <c r="B22" s="191"/>
      <c r="C22" s="192"/>
      <c r="D22" s="192"/>
      <c r="E22" s="192"/>
      <c r="F22" s="192"/>
      <c r="G22" s="192"/>
      <c r="H22" s="186"/>
      <c r="I22" s="186"/>
      <c r="J22" s="186"/>
      <c r="K22" s="186"/>
      <c r="L22" s="186"/>
      <c r="M22" s="186"/>
      <c r="N22" s="186"/>
    </row>
    <row r="23" spans="1:14" ht="15" customHeight="1">
      <c r="B23" s="484" t="s">
        <v>283</v>
      </c>
      <c r="C23" s="484"/>
      <c r="D23" s="484"/>
      <c r="E23" s="485" t="e">
        <f>NPV(C18,H23:N23)</f>
        <v>#DIV/0!</v>
      </c>
      <c r="F23" s="192"/>
      <c r="G23" s="482" t="s">
        <v>85</v>
      </c>
      <c r="H23" s="483" t="e">
        <f>NOPAT!M20</f>
        <v>#DIV/0!</v>
      </c>
      <c r="I23" s="483" t="e">
        <f>NOPAT!N20</f>
        <v>#DIV/0!</v>
      </c>
      <c r="J23" s="483" t="e">
        <f>NOPAT!O20</f>
        <v>#DIV/0!</v>
      </c>
      <c r="K23" s="483" t="e">
        <f>NOPAT!P20</f>
        <v>#DIV/0!</v>
      </c>
      <c r="L23" s="483" t="e">
        <f>NOPAT!Q20</f>
        <v>#DIV/0!</v>
      </c>
      <c r="M23" s="483" t="e">
        <f>NOPAT!R20</f>
        <v>#DIV/0!</v>
      </c>
      <c r="N23" s="483" t="e">
        <f>((NOPAT!S20/(C18-C19))/(1+C18))</f>
        <v>#DIV/0!</v>
      </c>
    </row>
    <row r="24" spans="1:14" ht="15" customHeight="1">
      <c r="B24" s="186" t="s">
        <v>384</v>
      </c>
      <c r="C24" s="186"/>
      <c r="D24" s="186"/>
      <c r="E24" s="193" t="e">
        <f>NOPAT!M27</f>
        <v>#DIV/0!</v>
      </c>
      <c r="F24" s="192"/>
      <c r="G24" s="421"/>
      <c r="H24" s="422"/>
      <c r="I24" s="422"/>
      <c r="J24" s="422"/>
      <c r="K24" s="422"/>
      <c r="L24" s="422"/>
      <c r="M24" s="422"/>
      <c r="N24" s="422"/>
    </row>
    <row r="25" spans="1:14" ht="15" customHeight="1">
      <c r="B25" s="194" t="s">
        <v>166</v>
      </c>
      <c r="C25" s="195"/>
      <c r="D25" s="195"/>
      <c r="E25" s="196" t="e">
        <f>E23-E24</f>
        <v>#DIV/0!</v>
      </c>
      <c r="F25" s="192"/>
      <c r="G25" s="193"/>
      <c r="H25" s="144"/>
      <c r="I25" s="144"/>
      <c r="J25" s="144"/>
      <c r="K25" s="144"/>
      <c r="L25" s="144"/>
      <c r="M25" s="144"/>
      <c r="N25" s="144"/>
    </row>
    <row r="26" spans="1:14" ht="15" customHeight="1">
      <c r="B26" s="186" t="s">
        <v>286</v>
      </c>
      <c r="C26" s="141"/>
      <c r="D26" s="141"/>
      <c r="E26" s="141" t="e">
        <f>E25/IS!J71</f>
        <v>#DIV/0!</v>
      </c>
      <c r="F26" s="192"/>
      <c r="G26" s="193"/>
      <c r="H26" s="144"/>
      <c r="I26" s="144"/>
      <c r="J26" s="144"/>
      <c r="K26" s="144"/>
      <c r="L26" s="144"/>
      <c r="M26" s="144"/>
      <c r="N26" s="144"/>
    </row>
    <row r="27" spans="1:14" ht="15" customHeight="1">
      <c r="B27" s="184" t="s">
        <v>35</v>
      </c>
      <c r="C27" s="141"/>
      <c r="D27" s="141"/>
      <c r="E27" s="546" t="e">
        <f>E28/(IS!J85/E29)</f>
        <v>#DIV/0!</v>
      </c>
      <c r="F27" s="192"/>
      <c r="G27" s="193"/>
      <c r="H27" s="144"/>
      <c r="I27" s="144"/>
      <c r="J27" s="144"/>
      <c r="K27" s="144"/>
      <c r="L27" s="144"/>
      <c r="M27" s="144"/>
      <c r="N27" s="144"/>
    </row>
    <row r="28" spans="1:14" s="181" customFormat="1" ht="15" customHeight="1">
      <c r="A28" s="180"/>
      <c r="B28" s="473" t="s">
        <v>284</v>
      </c>
      <c r="C28" s="474"/>
      <c r="D28" s="474"/>
      <c r="E28" s="475" t="e">
        <f>E25/E29</f>
        <v>#DIV/0!</v>
      </c>
      <c r="F28" s="192"/>
      <c r="G28" s="141"/>
      <c r="H28" s="186"/>
      <c r="I28" s="186"/>
      <c r="J28" s="186"/>
      <c r="K28" s="186"/>
      <c r="L28" s="186"/>
      <c r="M28" s="186"/>
      <c r="N28" s="186"/>
    </row>
    <row r="29" spans="1:14" ht="15" customHeight="1">
      <c r="B29" s="186" t="s">
        <v>285</v>
      </c>
      <c r="C29" s="186"/>
      <c r="D29" s="186"/>
      <c r="E29" s="350">
        <v>212422599</v>
      </c>
      <c r="F29" s="192"/>
      <c r="G29" s="141"/>
      <c r="H29" s="186"/>
      <c r="I29" s="186"/>
      <c r="J29" s="186"/>
      <c r="K29" s="186"/>
      <c r="L29" s="186"/>
      <c r="M29" s="186"/>
      <c r="N29" s="186"/>
    </row>
    <row r="30" spans="1:14" ht="15" customHeight="1">
      <c r="F30" s="192"/>
      <c r="G30" s="186"/>
      <c r="H30" s="186"/>
      <c r="I30" s="186"/>
      <c r="J30" s="186"/>
      <c r="K30" s="186"/>
      <c r="L30" s="186"/>
      <c r="M30" s="186"/>
      <c r="N30" s="186"/>
    </row>
    <row r="31" spans="1:14">
      <c r="B31" s="186"/>
      <c r="C31" s="186"/>
      <c r="D31" s="186"/>
      <c r="E31" s="186"/>
      <c r="F31" s="186"/>
      <c r="G31" s="186"/>
      <c r="H31" s="186"/>
      <c r="I31" s="186"/>
      <c r="J31" s="186"/>
      <c r="K31" s="186"/>
      <c r="L31" s="186"/>
      <c r="M31" s="186"/>
      <c r="N31" s="186"/>
    </row>
    <row r="32" spans="1:14">
      <c r="B32" s="186"/>
      <c r="C32" s="186"/>
      <c r="D32" s="186"/>
      <c r="E32" s="186"/>
      <c r="F32" s="186"/>
      <c r="G32" s="186"/>
      <c r="H32" s="186"/>
      <c r="I32" s="186"/>
      <c r="J32" s="186"/>
      <c r="K32" s="186"/>
      <c r="L32" s="186"/>
      <c r="M32" s="186"/>
      <c r="N32" s="186"/>
    </row>
    <row r="33" spans="2:14">
      <c r="B33" s="186"/>
      <c r="C33" s="186"/>
      <c r="D33" s="186"/>
      <c r="E33" s="186"/>
      <c r="F33" s="186"/>
      <c r="G33" s="186"/>
      <c r="H33" s="186"/>
      <c r="I33" s="186"/>
      <c r="J33" s="186"/>
      <c r="K33" s="186"/>
      <c r="L33" s="186"/>
      <c r="M33" s="186"/>
      <c r="N33" s="186"/>
    </row>
    <row r="34" spans="2:14">
      <c r="B34" s="186"/>
      <c r="C34" s="186"/>
      <c r="D34" s="186"/>
      <c r="E34" s="186"/>
      <c r="F34" s="186"/>
      <c r="G34" s="186"/>
      <c r="H34" s="186"/>
      <c r="I34" s="186"/>
      <c r="J34" s="186"/>
      <c r="K34" s="186"/>
      <c r="L34" s="186"/>
      <c r="M34" s="186"/>
      <c r="N34" s="186"/>
    </row>
    <row r="35" spans="2:14">
      <c r="B35" s="186"/>
      <c r="C35" s="186"/>
      <c r="D35" s="186"/>
      <c r="E35" s="186"/>
      <c r="F35" s="186"/>
      <c r="G35" s="186"/>
      <c r="H35" s="186"/>
      <c r="I35" s="186"/>
      <c r="J35" s="186"/>
      <c r="K35" s="186"/>
      <c r="L35" s="186"/>
      <c r="M35" s="186"/>
      <c r="N35" s="186"/>
    </row>
    <row r="36" spans="2:14">
      <c r="B36" s="186"/>
      <c r="C36" s="186"/>
      <c r="D36" s="186"/>
      <c r="E36" s="186"/>
      <c r="F36" s="186"/>
      <c r="G36" s="186"/>
      <c r="H36" s="186"/>
      <c r="I36" s="186"/>
      <c r="J36" s="186"/>
      <c r="K36" s="186"/>
      <c r="L36" s="186"/>
      <c r="M36" s="186"/>
      <c r="N36" s="186"/>
    </row>
    <row r="37" spans="2:14">
      <c r="B37" s="186"/>
      <c r="C37" s="186"/>
      <c r="D37" s="186"/>
      <c r="E37" s="186"/>
      <c r="F37" s="186"/>
      <c r="G37" s="186"/>
      <c r="H37" s="186"/>
      <c r="I37" s="186"/>
      <c r="J37" s="186"/>
      <c r="K37" s="186"/>
      <c r="L37" s="186"/>
      <c r="M37" s="186"/>
      <c r="N37" s="186"/>
    </row>
    <row r="38" spans="2:14">
      <c r="B38" s="186"/>
      <c r="C38" s="186"/>
      <c r="D38" s="186"/>
      <c r="E38" s="186"/>
      <c r="F38" s="186"/>
      <c r="G38" s="186"/>
      <c r="H38" s="186"/>
      <c r="I38" s="186"/>
      <c r="J38" s="186"/>
      <c r="K38" s="186"/>
      <c r="L38" s="186"/>
      <c r="M38" s="186"/>
      <c r="N38" s="186"/>
    </row>
    <row r="39" spans="2:14">
      <c r="B39" s="186"/>
      <c r="C39" s="186"/>
      <c r="D39" s="186"/>
      <c r="E39" s="186"/>
      <c r="F39" s="186"/>
      <c r="G39" s="186"/>
      <c r="H39" s="186"/>
      <c r="I39" s="186"/>
      <c r="J39" s="186"/>
      <c r="K39" s="186"/>
      <c r="L39" s="186"/>
      <c r="M39" s="186"/>
      <c r="N39" s="186"/>
    </row>
  </sheetData>
  <phoneticPr fontId="3" type="noConversion"/>
  <printOptions horizontalCentered="1"/>
  <pageMargins left="0.25" right="0.26" top="0.25" bottom="0.26" header="0.23622047244094491" footer="0.19685039370078741"/>
  <pageSetup scale="60" fitToHeight="0" orientation="landscape" r:id="rId1"/>
  <headerFooter alignWithMargins="0">
    <oddFooter>&amp;R&amp;8&amp;F  &amp;A
&amp;D</oddFooter>
  </headerFooter>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5">
    <pageSetUpPr fitToPage="1"/>
  </sheetPr>
  <dimension ref="A1:Y133"/>
  <sheetViews>
    <sheetView showGridLines="0" zoomScale="110" zoomScaleNormal="110" workbookViewId="0">
      <pane xSplit="1" ySplit="6" topLeftCell="B7" activePane="bottomRight" state="frozen"/>
      <selection pane="topRight" activeCell="B1" sqref="B1"/>
      <selection pane="bottomLeft" activeCell="A7" sqref="A7"/>
      <selection pane="bottomRight" activeCell="G21" sqref="G21"/>
    </sheetView>
  </sheetViews>
  <sheetFormatPr defaultColWidth="9.140625" defaultRowHeight="11.25"/>
  <cols>
    <col min="1" max="1" width="3.42578125" style="3" customWidth="1"/>
    <col min="2" max="2" width="38.85546875" style="3" bestFit="1" customWidth="1"/>
    <col min="3" max="8" width="11.140625" style="3" bestFit="1" customWidth="1"/>
    <col min="9" max="11" width="11.140625" style="3" customWidth="1"/>
    <col min="12" max="18" width="11.140625" style="3" hidden="1" customWidth="1"/>
    <col min="19" max="19" width="13.140625" style="3" bestFit="1" customWidth="1"/>
    <col min="20" max="20" width="10.85546875" style="3" bestFit="1" customWidth="1"/>
    <col min="21" max="24" width="2" style="3" customWidth="1"/>
    <col min="25" max="25" width="15" style="3" customWidth="1"/>
    <col min="26" max="16383" width="9.140625" style="3"/>
    <col min="16384" max="16384" width="0" style="3" hidden="1"/>
  </cols>
  <sheetData>
    <row r="1" spans="2:25" customFormat="1" ht="21.75" customHeight="1">
      <c r="B1" s="152" t="s">
        <v>2</v>
      </c>
      <c r="C1" s="270"/>
      <c r="D1" s="270"/>
      <c r="E1" s="270"/>
      <c r="F1" s="270"/>
      <c r="G1" s="270"/>
      <c r="H1" s="270"/>
      <c r="I1" s="270"/>
      <c r="J1" s="270"/>
      <c r="K1" s="270"/>
      <c r="L1" s="270"/>
      <c r="M1" s="270"/>
      <c r="N1" s="270"/>
      <c r="O1" s="270"/>
      <c r="P1" s="270"/>
      <c r="Q1" s="270"/>
      <c r="R1" s="270"/>
    </row>
    <row r="2" spans="2:25" customFormat="1" ht="16.5" customHeight="1" thickBot="1">
      <c r="B2" s="153" t="s">
        <v>27</v>
      </c>
      <c r="C2" s="24"/>
      <c r="D2" s="24"/>
      <c r="E2" s="24"/>
      <c r="F2" s="24"/>
      <c r="G2" s="24"/>
      <c r="H2" s="24"/>
      <c r="I2" s="24"/>
      <c r="J2" s="24"/>
      <c r="K2" s="24"/>
      <c r="L2" s="24"/>
      <c r="M2" s="24"/>
      <c r="N2" s="24"/>
      <c r="O2" s="24"/>
      <c r="P2" s="24"/>
      <c r="Q2" s="24"/>
      <c r="R2" s="24"/>
    </row>
    <row r="3" spans="2:25" customFormat="1" ht="23.25" customHeight="1">
      <c r="B3" s="22"/>
      <c r="C3" s="22"/>
      <c r="D3" s="22"/>
      <c r="E3" s="22"/>
      <c r="F3" s="22"/>
      <c r="G3" s="22"/>
      <c r="H3" s="22"/>
      <c r="I3" s="45"/>
      <c r="J3" s="45"/>
      <c r="K3" s="45"/>
      <c r="L3" s="45"/>
      <c r="M3" s="45"/>
      <c r="N3" s="45"/>
      <c r="O3" s="45"/>
      <c r="P3" s="45"/>
      <c r="Q3" s="45"/>
      <c r="R3" s="45"/>
    </row>
    <row r="4" spans="2:25" customFormat="1" ht="6.75" customHeight="1">
      <c r="B4" s="1"/>
      <c r="C4" s="1"/>
      <c r="D4" s="1"/>
      <c r="E4" s="1"/>
      <c r="F4" s="1"/>
      <c r="G4" s="1"/>
      <c r="H4" s="1"/>
      <c r="I4" s="45"/>
      <c r="J4" s="45"/>
      <c r="K4" s="45"/>
      <c r="L4" s="45"/>
      <c r="M4" s="45"/>
      <c r="N4" s="45"/>
      <c r="O4" s="45"/>
      <c r="P4" s="45"/>
      <c r="Q4" s="45"/>
      <c r="R4" s="45"/>
    </row>
    <row r="5" spans="2:25" customFormat="1" ht="3.75" customHeight="1">
      <c r="B5" s="1"/>
      <c r="C5" s="1"/>
      <c r="D5" s="1"/>
      <c r="E5" s="1"/>
      <c r="F5" s="1"/>
      <c r="G5" s="1"/>
      <c r="H5" s="1"/>
      <c r="I5" s="1"/>
      <c r="J5" s="1"/>
      <c r="K5" s="1"/>
      <c r="L5" s="1"/>
      <c r="M5" s="1"/>
      <c r="N5" s="1"/>
      <c r="O5" s="1"/>
      <c r="P5" s="1"/>
      <c r="Q5" s="1"/>
      <c r="R5" s="1"/>
    </row>
    <row r="6" spans="2:25" s="540" customFormat="1" ht="12.75">
      <c r="B6" s="541" t="s">
        <v>1</v>
      </c>
      <c r="C6" s="528">
        <v>2013</v>
      </c>
      <c r="D6" s="528">
        <v>2014</v>
      </c>
      <c r="E6" s="528">
        <v>2015</v>
      </c>
      <c r="F6" s="528">
        <v>2016</v>
      </c>
      <c r="G6" s="528">
        <v>2017</v>
      </c>
      <c r="H6" s="528">
        <v>2018</v>
      </c>
      <c r="I6" s="528">
        <v>2019</v>
      </c>
      <c r="J6" s="528">
        <v>2020</v>
      </c>
      <c r="K6" s="528">
        <v>2021</v>
      </c>
      <c r="L6" s="528">
        <v>2022</v>
      </c>
      <c r="M6" s="528">
        <v>2023</v>
      </c>
      <c r="N6" s="528">
        <v>2024</v>
      </c>
      <c r="O6" s="528">
        <v>2025</v>
      </c>
      <c r="P6" s="528">
        <v>2026</v>
      </c>
      <c r="Q6" s="528">
        <v>2027</v>
      </c>
      <c r="R6" s="528">
        <v>2028</v>
      </c>
    </row>
    <row r="7" spans="2:25" customFormat="1" ht="12.75">
      <c r="B7" s="6"/>
      <c r="C7" s="56" t="s">
        <v>3</v>
      </c>
      <c r="D7" s="56" t="s">
        <v>3</v>
      </c>
      <c r="E7" s="56" t="s">
        <v>3</v>
      </c>
      <c r="F7" s="56" t="s">
        <v>3</v>
      </c>
      <c r="G7" s="56" t="s">
        <v>3</v>
      </c>
      <c r="H7" s="56" t="s">
        <v>3</v>
      </c>
      <c r="I7" s="56" t="s">
        <v>3</v>
      </c>
      <c r="J7" s="56" t="s">
        <v>3</v>
      </c>
      <c r="K7" s="56" t="s">
        <v>3</v>
      </c>
      <c r="L7" s="56" t="s">
        <v>4</v>
      </c>
      <c r="M7" s="56" t="s">
        <v>4</v>
      </c>
      <c r="N7" s="56" t="s">
        <v>4</v>
      </c>
      <c r="O7" s="56" t="s">
        <v>4</v>
      </c>
      <c r="P7" s="56" t="s">
        <v>4</v>
      </c>
      <c r="Q7" s="56" t="s">
        <v>4</v>
      </c>
      <c r="R7" s="56" t="s">
        <v>4</v>
      </c>
      <c r="S7" s="7"/>
      <c r="T7" s="7"/>
      <c r="U7" s="7"/>
      <c r="V7" s="7"/>
      <c r="W7" s="7"/>
      <c r="X7" s="3"/>
      <c r="Y7" s="3"/>
    </row>
    <row r="8" spans="2:25" customFormat="1" ht="12.75">
      <c r="C8" s="3"/>
      <c r="D8" s="3"/>
      <c r="E8" s="3"/>
      <c r="F8" s="3"/>
      <c r="G8" s="3"/>
      <c r="H8" s="3"/>
      <c r="I8" s="3"/>
      <c r="J8" s="3"/>
      <c r="K8" s="3"/>
      <c r="L8" s="3"/>
      <c r="M8" s="3"/>
      <c r="N8" s="3"/>
      <c r="O8" s="3"/>
      <c r="P8" s="3"/>
      <c r="Q8" s="3"/>
      <c r="R8" s="3"/>
    </row>
    <row r="9" spans="2:25" customFormat="1" ht="12.75">
      <c r="B9" s="155" t="s">
        <v>287</v>
      </c>
      <c r="C9" s="359">
        <f>232354+160623</f>
        <v>392977</v>
      </c>
      <c r="D9" s="359">
        <f>239141+132821</f>
        <v>371962</v>
      </c>
      <c r="E9" s="359">
        <f>623608+77852</f>
        <v>701460</v>
      </c>
      <c r="F9" s="359">
        <f>888740+175766</f>
        <v>1064506</v>
      </c>
      <c r="G9" s="359">
        <v>749328</v>
      </c>
      <c r="H9" s="359">
        <f>512308+130428</f>
        <v>642736</v>
      </c>
      <c r="I9" s="359">
        <f>829427+55342</f>
        <v>884769</v>
      </c>
      <c r="J9" s="359">
        <v>1604053</v>
      </c>
      <c r="K9" s="359">
        <v>139779.53765000001</v>
      </c>
      <c r="L9" s="424"/>
      <c r="M9" s="424"/>
      <c r="N9" s="424"/>
      <c r="O9" s="424"/>
      <c r="P9" s="424"/>
      <c r="Q9" s="424"/>
      <c r="R9" s="424"/>
      <c r="S9" s="2"/>
      <c r="T9" s="2"/>
      <c r="U9" s="2"/>
      <c r="V9" s="2"/>
      <c r="W9" s="2"/>
      <c r="X9" s="2"/>
      <c r="Y9" s="2"/>
    </row>
    <row r="10" spans="2:25">
      <c r="B10" s="155" t="s">
        <v>288</v>
      </c>
      <c r="C10" s="359">
        <v>62438</v>
      </c>
      <c r="D10" s="359">
        <v>120663</v>
      </c>
      <c r="E10" s="359">
        <v>176691</v>
      </c>
      <c r="F10" s="359">
        <v>73392</v>
      </c>
      <c r="G10" s="359">
        <v>168128</v>
      </c>
      <c r="H10" s="359">
        <v>131546</v>
      </c>
      <c r="I10" s="359">
        <v>178405</v>
      </c>
      <c r="J10" s="359">
        <v>207283</v>
      </c>
      <c r="K10" s="359">
        <v>149091.62709999998</v>
      </c>
      <c r="L10" s="424"/>
      <c r="M10" s="424"/>
      <c r="N10" s="424"/>
      <c r="O10" s="424"/>
      <c r="P10" s="424"/>
      <c r="Q10" s="424"/>
      <c r="R10" s="424"/>
    </row>
    <row r="11" spans="2:25">
      <c r="B11" s="155" t="s">
        <v>289</v>
      </c>
      <c r="C11" s="359">
        <v>2550</v>
      </c>
      <c r="D11" s="359">
        <v>5200</v>
      </c>
      <c r="E11" s="359">
        <v>4438</v>
      </c>
      <c r="F11" s="359">
        <v>1728</v>
      </c>
      <c r="G11" s="359">
        <v>9017</v>
      </c>
      <c r="H11" s="359">
        <v>8520</v>
      </c>
      <c r="I11" s="359">
        <v>2443</v>
      </c>
      <c r="J11" s="359">
        <v>3580</v>
      </c>
      <c r="K11" s="359">
        <v>29502.31583</v>
      </c>
      <c r="L11" s="424"/>
      <c r="M11" s="424"/>
      <c r="N11" s="424"/>
      <c r="O11" s="424"/>
      <c r="P11" s="424"/>
      <c r="Q11" s="424"/>
      <c r="R11" s="424"/>
    </row>
    <row r="12" spans="2:25">
      <c r="B12" s="155" t="s">
        <v>148</v>
      </c>
      <c r="C12" s="359">
        <v>514819</v>
      </c>
      <c r="D12" s="359">
        <v>622101</v>
      </c>
      <c r="E12" s="359">
        <v>728192</v>
      </c>
      <c r="F12" s="359">
        <v>486425</v>
      </c>
      <c r="G12" s="359">
        <v>569524</v>
      </c>
      <c r="H12" s="359">
        <v>868522</v>
      </c>
      <c r="I12" s="359">
        <v>1071354</v>
      </c>
      <c r="J12" s="359">
        <v>1301082</v>
      </c>
      <c r="K12" s="359">
        <v>2929844.10408</v>
      </c>
      <c r="L12" s="424"/>
      <c r="M12" s="424"/>
      <c r="N12" s="424"/>
      <c r="O12" s="424"/>
      <c r="P12" s="424"/>
      <c r="Q12" s="424"/>
      <c r="R12" s="424"/>
    </row>
    <row r="13" spans="2:25">
      <c r="B13" s="155" t="s">
        <v>151</v>
      </c>
      <c r="C13" s="359">
        <v>378481</v>
      </c>
      <c r="D13" s="359">
        <v>374372</v>
      </c>
      <c r="E13" s="359">
        <v>423705</v>
      </c>
      <c r="F13" s="359">
        <v>521174</v>
      </c>
      <c r="G13" s="359">
        <v>522997</v>
      </c>
      <c r="H13" s="359">
        <v>705390</v>
      </c>
      <c r="I13" s="359">
        <v>780589</v>
      </c>
      <c r="J13" s="359">
        <v>891804</v>
      </c>
      <c r="K13" s="359">
        <v>1567487.84822</v>
      </c>
      <c r="L13" s="424"/>
      <c r="M13" s="424"/>
      <c r="N13" s="424"/>
      <c r="O13" s="424"/>
      <c r="P13" s="424"/>
      <c r="Q13" s="424"/>
      <c r="R13" s="424"/>
    </row>
    <row r="14" spans="2:25">
      <c r="B14" s="155" t="s">
        <v>290</v>
      </c>
      <c r="C14" s="359">
        <v>78361</v>
      </c>
      <c r="D14" s="359">
        <v>98566</v>
      </c>
      <c r="E14" s="359">
        <v>89321</v>
      </c>
      <c r="F14" s="359">
        <v>66727</v>
      </c>
      <c r="G14" s="359">
        <v>45908</v>
      </c>
      <c r="H14" s="359">
        <v>86943</v>
      </c>
      <c r="I14" s="359">
        <v>41943</v>
      </c>
      <c r="J14" s="359">
        <v>39447</v>
      </c>
      <c r="K14" s="359">
        <v>126935.59093000001</v>
      </c>
      <c r="L14" s="424"/>
      <c r="M14" s="424"/>
      <c r="N14" s="424"/>
      <c r="O14" s="424"/>
      <c r="P14" s="424"/>
      <c r="Q14" s="424"/>
      <c r="R14" s="424"/>
    </row>
    <row r="15" spans="2:25">
      <c r="B15" s="155" t="s">
        <v>291</v>
      </c>
      <c r="C15" s="359">
        <v>10314</v>
      </c>
      <c r="D15" s="359">
        <v>5474</v>
      </c>
      <c r="E15" s="359">
        <v>4444</v>
      </c>
      <c r="F15" s="359">
        <v>7948</v>
      </c>
      <c r="G15" s="359">
        <v>123657</v>
      </c>
      <c r="H15" s="359">
        <v>66342</v>
      </c>
      <c r="I15" s="359">
        <v>71657</v>
      </c>
      <c r="J15" s="359">
        <v>31207</v>
      </c>
      <c r="K15" s="359">
        <v>21919.44166</v>
      </c>
      <c r="L15" s="424"/>
      <c r="M15" s="424"/>
      <c r="N15" s="424"/>
      <c r="O15" s="424"/>
      <c r="P15" s="424"/>
      <c r="Q15" s="424"/>
      <c r="R15" s="424"/>
    </row>
    <row r="16" spans="2:25">
      <c r="B16" s="155" t="s">
        <v>292</v>
      </c>
      <c r="C16" s="359">
        <v>5278</v>
      </c>
      <c r="D16" s="359">
        <v>8936</v>
      </c>
      <c r="E16" s="359">
        <v>26639</v>
      </c>
      <c r="F16" s="359">
        <v>99963</v>
      </c>
      <c r="G16" s="359">
        <v>47140</v>
      </c>
      <c r="H16" s="359">
        <v>60222</v>
      </c>
      <c r="I16" s="359">
        <v>34008</v>
      </c>
      <c r="J16" s="359">
        <v>98587</v>
      </c>
      <c r="K16" s="359">
        <v>63277.670819999999</v>
      </c>
      <c r="L16" s="424"/>
      <c r="M16" s="424"/>
      <c r="N16" s="424"/>
      <c r="O16" s="424"/>
      <c r="P16" s="424"/>
      <c r="Q16" s="424"/>
      <c r="R16" s="424"/>
    </row>
    <row r="17" spans="2:19">
      <c r="B17" s="155" t="s">
        <v>293</v>
      </c>
      <c r="C17" s="359">
        <v>4754</v>
      </c>
      <c r="D17" s="359">
        <v>3456</v>
      </c>
      <c r="E17" s="359">
        <v>15812</v>
      </c>
      <c r="F17" s="359">
        <v>2507</v>
      </c>
      <c r="G17" s="359">
        <v>3916</v>
      </c>
      <c r="H17" s="359">
        <f>5290+6</f>
        <v>5296</v>
      </c>
      <c r="I17" s="359">
        <f>11+11412</f>
        <v>11423</v>
      </c>
      <c r="J17" s="359">
        <f>6217+8</f>
        <v>6225</v>
      </c>
      <c r="K17" s="359">
        <v>22320.105579999999</v>
      </c>
      <c r="L17" s="424"/>
      <c r="M17" s="424"/>
      <c r="N17" s="424"/>
      <c r="O17" s="424"/>
      <c r="P17" s="424"/>
      <c r="Q17" s="424"/>
      <c r="R17" s="424"/>
    </row>
    <row r="18" spans="2:19">
      <c r="B18" s="155" t="s">
        <v>153</v>
      </c>
      <c r="C18" s="359">
        <v>3793</v>
      </c>
      <c r="D18" s="359">
        <v>2712</v>
      </c>
      <c r="E18" s="359">
        <v>5469</v>
      </c>
      <c r="F18" s="359">
        <v>7721</v>
      </c>
      <c r="G18" s="359">
        <v>8354</v>
      </c>
      <c r="H18" s="359">
        <v>5060</v>
      </c>
      <c r="I18" s="359">
        <v>14030</v>
      </c>
      <c r="J18" s="359">
        <v>17141</v>
      </c>
      <c r="K18" s="359">
        <v>14275.24063</v>
      </c>
      <c r="L18" s="424"/>
      <c r="M18" s="424"/>
      <c r="N18" s="424"/>
      <c r="O18" s="424"/>
      <c r="P18" s="424"/>
      <c r="Q18" s="424"/>
      <c r="R18" s="424"/>
    </row>
    <row r="19" spans="2:19">
      <c r="B19" s="165" t="s">
        <v>156</v>
      </c>
      <c r="C19" s="360">
        <v>0</v>
      </c>
      <c r="D19" s="360"/>
      <c r="E19" s="360">
        <v>677</v>
      </c>
      <c r="F19" s="360">
        <v>77</v>
      </c>
      <c r="G19" s="360">
        <v>2370</v>
      </c>
      <c r="H19" s="360">
        <v>1449</v>
      </c>
      <c r="I19" s="360">
        <v>189</v>
      </c>
      <c r="J19" s="360">
        <v>971</v>
      </c>
      <c r="K19" s="360">
        <v>572.62618999999995</v>
      </c>
      <c r="L19" s="425"/>
      <c r="M19" s="425"/>
      <c r="N19" s="425"/>
      <c r="O19" s="425"/>
      <c r="P19" s="425"/>
      <c r="Q19" s="425"/>
      <c r="R19" s="425"/>
    </row>
    <row r="20" spans="2:19">
      <c r="B20" s="155"/>
    </row>
    <row r="21" spans="2:19">
      <c r="B21" s="199" t="s">
        <v>294</v>
      </c>
      <c r="C21" s="203">
        <f t="shared" ref="C21:R21" si="0">SUM(C9:C19)</f>
        <v>1453765</v>
      </c>
      <c r="D21" s="203">
        <f t="shared" si="0"/>
        <v>1613442</v>
      </c>
      <c r="E21" s="203">
        <f t="shared" si="0"/>
        <v>2176848</v>
      </c>
      <c r="F21" s="203">
        <f t="shared" si="0"/>
        <v>2332168</v>
      </c>
      <c r="G21" s="203">
        <f t="shared" si="0"/>
        <v>2250339</v>
      </c>
      <c r="H21" s="203">
        <f t="shared" si="0"/>
        <v>2582026</v>
      </c>
      <c r="I21" s="203">
        <f t="shared" si="0"/>
        <v>3090810</v>
      </c>
      <c r="J21" s="203">
        <f t="shared" si="0"/>
        <v>4201380</v>
      </c>
      <c r="K21" s="203">
        <f t="shared" si="0"/>
        <v>5065006.1086900001</v>
      </c>
      <c r="L21" s="203">
        <f t="shared" si="0"/>
        <v>0</v>
      </c>
      <c r="M21" s="203">
        <f t="shared" si="0"/>
        <v>0</v>
      </c>
      <c r="N21" s="203">
        <f t="shared" si="0"/>
        <v>0</v>
      </c>
      <c r="O21" s="203">
        <f t="shared" si="0"/>
        <v>0</v>
      </c>
      <c r="P21" s="203">
        <f t="shared" si="0"/>
        <v>0</v>
      </c>
      <c r="Q21" s="203">
        <f t="shared" si="0"/>
        <v>0</v>
      </c>
      <c r="R21" s="203">
        <f t="shared" si="0"/>
        <v>0</v>
      </c>
    </row>
    <row r="22" spans="2:19">
      <c r="B22" s="155"/>
      <c r="C22" s="144"/>
      <c r="D22" s="144"/>
      <c r="E22" s="144"/>
      <c r="F22" s="144"/>
      <c r="G22" s="144"/>
      <c r="H22" s="144"/>
      <c r="I22" s="144"/>
      <c r="J22" s="144"/>
      <c r="K22" s="144"/>
      <c r="L22" s="144"/>
      <c r="M22" s="144"/>
      <c r="N22" s="144"/>
      <c r="O22" s="144"/>
      <c r="P22" s="144"/>
      <c r="Q22" s="144"/>
      <c r="R22" s="144"/>
    </row>
    <row r="23" spans="2:19">
      <c r="B23" s="155" t="s">
        <v>150</v>
      </c>
      <c r="C23" s="359">
        <v>20726</v>
      </c>
      <c r="D23" s="359">
        <v>31576</v>
      </c>
      <c r="E23" s="359">
        <v>51954</v>
      </c>
      <c r="F23" s="359">
        <v>55834</v>
      </c>
      <c r="G23" s="359">
        <v>62841</v>
      </c>
      <c r="H23" s="359">
        <v>82895</v>
      </c>
      <c r="I23" s="359">
        <v>122469</v>
      </c>
      <c r="J23" s="359">
        <v>111203</v>
      </c>
      <c r="K23" s="359">
        <v>152689.98978999999</v>
      </c>
      <c r="L23" s="424"/>
      <c r="M23" s="424"/>
      <c r="N23" s="424"/>
      <c r="O23" s="424"/>
      <c r="P23" s="424"/>
      <c r="Q23" s="424"/>
      <c r="R23" s="424"/>
    </row>
    <row r="24" spans="2:19">
      <c r="B24" s="155" t="s">
        <v>295</v>
      </c>
      <c r="C24" s="359">
        <v>3924</v>
      </c>
      <c r="D24" s="359">
        <v>8358</v>
      </c>
      <c r="E24" s="359">
        <v>23509</v>
      </c>
      <c r="F24" s="359">
        <v>26265</v>
      </c>
      <c r="G24" s="359">
        <v>18760</v>
      </c>
      <c r="H24" s="359">
        <v>17168</v>
      </c>
      <c r="I24" s="359">
        <v>22517</v>
      </c>
      <c r="J24" s="359">
        <v>20480</v>
      </c>
      <c r="K24" s="359">
        <v>405662.28499000001</v>
      </c>
      <c r="L24" s="424"/>
      <c r="M24" s="424"/>
      <c r="N24" s="424"/>
      <c r="O24" s="424"/>
      <c r="P24" s="424"/>
      <c r="Q24" s="424"/>
      <c r="R24" s="424"/>
    </row>
    <row r="25" spans="2:19">
      <c r="B25" s="155" t="s">
        <v>296</v>
      </c>
      <c r="C25" s="359">
        <v>1938</v>
      </c>
      <c r="D25" s="359">
        <v>1329</v>
      </c>
      <c r="E25" s="359">
        <v>101852</v>
      </c>
      <c r="F25" s="359">
        <v>48648</v>
      </c>
      <c r="G25" s="359">
        <v>23766</v>
      </c>
      <c r="H25" s="359">
        <v>8770</v>
      </c>
      <c r="I25" s="359">
        <v>11328</v>
      </c>
      <c r="J25" s="359">
        <v>146785</v>
      </c>
      <c r="K25" s="359">
        <v>116297.04977</v>
      </c>
      <c r="L25" s="424"/>
      <c r="M25" s="424"/>
      <c r="N25" s="424"/>
      <c r="O25" s="424"/>
      <c r="P25" s="424"/>
      <c r="Q25" s="424"/>
      <c r="R25" s="424"/>
    </row>
    <row r="26" spans="2:19">
      <c r="B26" s="155" t="s">
        <v>289</v>
      </c>
      <c r="C26" s="359">
        <v>68583</v>
      </c>
      <c r="D26" s="359">
        <v>71218</v>
      </c>
      <c r="E26" s="359">
        <v>76430</v>
      </c>
      <c r="F26" s="359">
        <v>71542</v>
      </c>
      <c r="G26" s="359">
        <v>57763</v>
      </c>
      <c r="H26" s="359">
        <v>46176</v>
      </c>
      <c r="I26" s="359">
        <v>30241</v>
      </c>
      <c r="J26" s="359">
        <v>59814</v>
      </c>
      <c r="K26" s="359">
        <v>74201.793189999997</v>
      </c>
      <c r="L26" s="424"/>
      <c r="M26" s="424"/>
      <c r="N26" s="424"/>
      <c r="O26" s="424"/>
      <c r="P26" s="424"/>
      <c r="Q26" s="424"/>
      <c r="R26" s="424"/>
    </row>
    <row r="27" spans="2:19">
      <c r="B27" s="155" t="s">
        <v>387</v>
      </c>
      <c r="C27" s="359"/>
      <c r="D27" s="359"/>
      <c r="E27" s="359"/>
      <c r="F27" s="359"/>
      <c r="G27" s="359"/>
      <c r="H27" s="359"/>
      <c r="I27" s="359">
        <v>650</v>
      </c>
      <c r="J27" s="359">
        <v>437</v>
      </c>
      <c r="K27" s="359">
        <v>684.17603000000008</v>
      </c>
      <c r="L27" s="424"/>
      <c r="M27" s="424"/>
      <c r="N27" s="424"/>
      <c r="O27" s="424"/>
      <c r="P27" s="424"/>
      <c r="Q27" s="424"/>
      <c r="R27" s="424"/>
    </row>
    <row r="28" spans="2:19">
      <c r="B28" s="155" t="s">
        <v>291</v>
      </c>
      <c r="C28" s="359"/>
      <c r="D28" s="359"/>
      <c r="E28" s="359"/>
      <c r="F28" s="359"/>
      <c r="G28" s="359"/>
      <c r="H28" s="359"/>
      <c r="I28" s="359">
        <v>5248</v>
      </c>
      <c r="J28" s="359">
        <v>2700</v>
      </c>
      <c r="K28" s="359">
        <v>26961.687870000002</v>
      </c>
      <c r="L28" s="424"/>
      <c r="M28" s="424"/>
      <c r="N28" s="424"/>
      <c r="O28" s="424"/>
      <c r="P28" s="424"/>
      <c r="Q28" s="424"/>
      <c r="R28" s="424"/>
    </row>
    <row r="29" spans="2:19">
      <c r="B29" s="155" t="s">
        <v>153</v>
      </c>
      <c r="C29" s="359">
        <v>5796</v>
      </c>
      <c r="D29" s="359">
        <v>1665</v>
      </c>
      <c r="E29" s="359">
        <v>2830</v>
      </c>
      <c r="F29" s="359">
        <v>3777</v>
      </c>
      <c r="G29" s="359">
        <v>2567</v>
      </c>
      <c r="H29" s="359">
        <v>2659</v>
      </c>
      <c r="I29" s="359">
        <v>528</v>
      </c>
      <c r="J29" s="359">
        <v>437</v>
      </c>
      <c r="K29" s="359">
        <v>34.965019999999996</v>
      </c>
      <c r="L29" s="424"/>
      <c r="M29" s="424"/>
      <c r="N29" s="424"/>
      <c r="O29" s="424"/>
      <c r="P29" s="424"/>
      <c r="Q29" s="424"/>
      <c r="R29" s="424"/>
    </row>
    <row r="30" spans="2:19">
      <c r="B30" s="165" t="s">
        <v>297</v>
      </c>
      <c r="C30" s="360">
        <f>4461+8594+1684</f>
        <v>14739</v>
      </c>
      <c r="D30" s="360">
        <f>5848+7956+4760</f>
        <v>18564</v>
      </c>
      <c r="E30" s="360">
        <f>4239+7464+7752</f>
        <v>19455</v>
      </c>
      <c r="F30" s="360">
        <v>15189</v>
      </c>
      <c r="G30" s="360">
        <v>17029</v>
      </c>
      <c r="H30" s="360">
        <v>15643</v>
      </c>
      <c r="I30" s="360">
        <v>7945</v>
      </c>
      <c r="J30" s="360">
        <f>13705-774</f>
        <v>12931</v>
      </c>
      <c r="K30" s="360">
        <v>19755.05645</v>
      </c>
      <c r="L30" s="425"/>
      <c r="M30" s="425"/>
      <c r="N30" s="425"/>
      <c r="O30" s="425"/>
      <c r="P30" s="425"/>
      <c r="Q30" s="425"/>
      <c r="R30" s="425"/>
    </row>
    <row r="31" spans="2:19">
      <c r="B31" s="155"/>
    </row>
    <row r="32" spans="2:19">
      <c r="B32" s="199" t="s">
        <v>298</v>
      </c>
      <c r="C32" s="167">
        <f t="shared" ref="C32:R32" si="1">SUM(C23:C30)</f>
        <v>115706</v>
      </c>
      <c r="D32" s="167">
        <f t="shared" si="1"/>
        <v>132710</v>
      </c>
      <c r="E32" s="167">
        <f t="shared" si="1"/>
        <v>276030</v>
      </c>
      <c r="F32" s="167">
        <f t="shared" si="1"/>
        <v>221255</v>
      </c>
      <c r="G32" s="167">
        <f t="shared" si="1"/>
        <v>182726</v>
      </c>
      <c r="H32" s="167">
        <f t="shared" si="1"/>
        <v>173311</v>
      </c>
      <c r="I32" s="167">
        <f t="shared" si="1"/>
        <v>200926</v>
      </c>
      <c r="J32" s="167">
        <f t="shared" si="1"/>
        <v>354787</v>
      </c>
      <c r="K32" s="167">
        <f t="shared" si="1"/>
        <v>796287.00311000005</v>
      </c>
      <c r="L32" s="167">
        <f t="shared" si="1"/>
        <v>0</v>
      </c>
      <c r="M32" s="167">
        <f t="shared" si="1"/>
        <v>0</v>
      </c>
      <c r="N32" s="167">
        <f t="shared" si="1"/>
        <v>0</v>
      </c>
      <c r="O32" s="167">
        <f t="shared" si="1"/>
        <v>0</v>
      </c>
      <c r="P32" s="167">
        <f t="shared" si="1"/>
        <v>0</v>
      </c>
      <c r="Q32" s="167">
        <f t="shared" si="1"/>
        <v>0</v>
      </c>
      <c r="R32" s="167">
        <f t="shared" si="1"/>
        <v>0</v>
      </c>
      <c r="S32" s="11"/>
    </row>
    <row r="33" spans="2:20">
      <c r="B33" s="155"/>
      <c r="C33" s="103"/>
      <c r="D33" s="103"/>
      <c r="E33" s="103"/>
      <c r="F33" s="103"/>
      <c r="G33" s="103"/>
      <c r="H33" s="103"/>
      <c r="I33" s="103"/>
      <c r="J33" s="103"/>
      <c r="K33" s="103"/>
      <c r="L33" s="103"/>
      <c r="M33" s="103"/>
      <c r="N33" s="103"/>
      <c r="O33" s="103"/>
      <c r="P33" s="103"/>
      <c r="Q33" s="103"/>
      <c r="R33" s="103"/>
    </row>
    <row r="34" spans="2:20">
      <c r="B34" s="155" t="s">
        <v>299</v>
      </c>
      <c r="C34" s="359">
        <v>0</v>
      </c>
      <c r="D34" s="359">
        <v>0</v>
      </c>
      <c r="E34" s="359">
        <v>93350</v>
      </c>
      <c r="F34" s="359">
        <v>210644</v>
      </c>
      <c r="G34" s="359">
        <v>202243</v>
      </c>
      <c r="H34" s="359">
        <v>209082</v>
      </c>
      <c r="I34" s="359">
        <v>217010</v>
      </c>
      <c r="J34" s="359">
        <v>224194</v>
      </c>
      <c r="K34" s="359">
        <f>334909674.47/1000</f>
        <v>334909.67447000003</v>
      </c>
      <c r="L34" s="424"/>
      <c r="M34" s="424"/>
      <c r="N34" s="424"/>
      <c r="O34" s="424"/>
      <c r="P34" s="424"/>
      <c r="Q34" s="424"/>
      <c r="R34" s="424"/>
    </row>
    <row r="35" spans="2:20">
      <c r="B35" s="155" t="s">
        <v>386</v>
      </c>
      <c r="C35" s="359"/>
      <c r="D35" s="359"/>
      <c r="E35" s="359"/>
      <c r="F35" s="359"/>
      <c r="G35" s="359"/>
      <c r="H35" s="359"/>
      <c r="I35" s="359">
        <v>555031</v>
      </c>
      <c r="J35" s="359">
        <v>828496</v>
      </c>
      <c r="K35" s="359">
        <f>3042184854.63/1000</f>
        <v>3042184.85463</v>
      </c>
      <c r="L35" s="424"/>
      <c r="M35" s="424"/>
      <c r="N35" s="424"/>
      <c r="O35" s="424"/>
      <c r="P35" s="424"/>
      <c r="Q35" s="424"/>
      <c r="R35" s="424"/>
    </row>
    <row r="36" spans="2:20">
      <c r="B36" s="155" t="s">
        <v>300</v>
      </c>
      <c r="C36" s="359">
        <v>2685343</v>
      </c>
      <c r="D36" s="359">
        <v>2747811</v>
      </c>
      <c r="E36" s="359">
        <v>2760438</v>
      </c>
      <c r="F36" s="359">
        <v>2686064</v>
      </c>
      <c r="G36" s="359">
        <v>2647977</v>
      </c>
      <c r="H36" s="359">
        <v>2784265</v>
      </c>
      <c r="I36" s="359">
        <v>2878989</v>
      </c>
      <c r="J36" s="359">
        <v>2944544</v>
      </c>
      <c r="K36" s="359">
        <f>3398062387.49/1000</f>
        <v>3398062.3874899996</v>
      </c>
      <c r="L36" s="424"/>
      <c r="M36" s="424"/>
      <c r="N36" s="424"/>
      <c r="O36" s="424"/>
      <c r="P36" s="424"/>
      <c r="Q36" s="424"/>
      <c r="R36" s="424"/>
    </row>
    <row r="37" spans="2:20">
      <c r="B37" s="165" t="s">
        <v>301</v>
      </c>
      <c r="C37" s="360">
        <v>6264</v>
      </c>
      <c r="D37" s="360">
        <v>4671</v>
      </c>
      <c r="E37" s="360">
        <v>2967</v>
      </c>
      <c r="F37" s="360">
        <v>3245</v>
      </c>
      <c r="G37" s="360">
        <v>10400</v>
      </c>
      <c r="H37" s="360">
        <v>6853</v>
      </c>
      <c r="I37" s="360">
        <v>15363</v>
      </c>
      <c r="J37" s="360">
        <v>35290</v>
      </c>
      <c r="K37" s="360">
        <f>118183793.48/1000</f>
        <v>118183.79348000001</v>
      </c>
      <c r="L37" s="425"/>
      <c r="M37" s="425"/>
      <c r="N37" s="425"/>
      <c r="O37" s="425"/>
      <c r="P37" s="425"/>
      <c r="Q37" s="425"/>
      <c r="R37" s="425"/>
    </row>
    <row r="38" spans="2:20">
      <c r="B38" s="155"/>
    </row>
    <row r="39" spans="2:20">
      <c r="B39" s="199" t="s">
        <v>302</v>
      </c>
      <c r="C39" s="167">
        <f>SUM(C34:C37)</f>
        <v>2691607</v>
      </c>
      <c r="D39" s="167">
        <f>SUM(D34:D37)</f>
        <v>2752482</v>
      </c>
      <c r="E39" s="167">
        <f>SUM(E34:E37)</f>
        <v>2856755</v>
      </c>
      <c r="F39" s="167">
        <f>SUM(F34:F37)</f>
        <v>2899953</v>
      </c>
      <c r="G39" s="167">
        <f>SUM(G34:G37)</f>
        <v>2860620</v>
      </c>
      <c r="H39" s="167">
        <f t="shared" ref="H39:R39" si="2">SUM(H34:H37)</f>
        <v>3000200</v>
      </c>
      <c r="I39" s="167">
        <f t="shared" si="2"/>
        <v>3666393</v>
      </c>
      <c r="J39" s="167">
        <f t="shared" si="2"/>
        <v>4032524</v>
      </c>
      <c r="K39" s="167">
        <f t="shared" si="2"/>
        <v>6893340.71007</v>
      </c>
      <c r="L39" s="167">
        <f t="shared" si="2"/>
        <v>0</v>
      </c>
      <c r="M39" s="167">
        <f t="shared" si="2"/>
        <v>0</v>
      </c>
      <c r="N39" s="167">
        <f t="shared" si="2"/>
        <v>0</v>
      </c>
      <c r="O39" s="167">
        <f t="shared" si="2"/>
        <v>0</v>
      </c>
      <c r="P39" s="167">
        <f t="shared" si="2"/>
        <v>0</v>
      </c>
      <c r="Q39" s="167">
        <f t="shared" si="2"/>
        <v>0</v>
      </c>
      <c r="R39" s="167">
        <f t="shared" si="2"/>
        <v>0</v>
      </c>
    </row>
    <row r="40" spans="2:20">
      <c r="B40" s="199"/>
      <c r="C40" s="167"/>
      <c r="D40" s="167"/>
      <c r="E40" s="167"/>
      <c r="F40" s="167"/>
      <c r="G40" s="167"/>
      <c r="H40" s="167"/>
      <c r="I40" s="167"/>
      <c r="J40" s="167"/>
      <c r="K40" s="167"/>
      <c r="L40" s="167"/>
      <c r="M40" s="167"/>
      <c r="N40" s="167"/>
      <c r="O40" s="167"/>
      <c r="P40" s="167"/>
      <c r="Q40" s="167"/>
      <c r="R40" s="167"/>
    </row>
    <row r="41" spans="2:20">
      <c r="B41" s="200" t="s">
        <v>36</v>
      </c>
      <c r="C41" s="201">
        <f t="shared" ref="C41:R41" si="3">C21+C32+C39</f>
        <v>4261078</v>
      </c>
      <c r="D41" s="201">
        <f t="shared" si="3"/>
        <v>4498634</v>
      </c>
      <c r="E41" s="201">
        <f t="shared" si="3"/>
        <v>5309633</v>
      </c>
      <c r="F41" s="201">
        <f t="shared" si="3"/>
        <v>5453376</v>
      </c>
      <c r="G41" s="201">
        <f t="shared" si="3"/>
        <v>5293685</v>
      </c>
      <c r="H41" s="201">
        <f t="shared" si="3"/>
        <v>5755537</v>
      </c>
      <c r="I41" s="201">
        <f t="shared" si="3"/>
        <v>6958129</v>
      </c>
      <c r="J41" s="201">
        <f t="shared" si="3"/>
        <v>8588691</v>
      </c>
      <c r="K41" s="201">
        <f t="shared" si="3"/>
        <v>12754633.821869999</v>
      </c>
      <c r="L41" s="201">
        <f t="shared" si="3"/>
        <v>0</v>
      </c>
      <c r="M41" s="201">
        <f t="shared" si="3"/>
        <v>0</v>
      </c>
      <c r="N41" s="201">
        <f t="shared" si="3"/>
        <v>0</v>
      </c>
      <c r="O41" s="201">
        <f t="shared" si="3"/>
        <v>0</v>
      </c>
      <c r="P41" s="201">
        <f t="shared" si="3"/>
        <v>0</v>
      </c>
      <c r="Q41" s="201">
        <f t="shared" si="3"/>
        <v>0</v>
      </c>
      <c r="R41" s="201">
        <f t="shared" si="3"/>
        <v>0</v>
      </c>
      <c r="S41" s="31"/>
      <c r="T41" s="11"/>
    </row>
    <row r="42" spans="2:20">
      <c r="B42" s="11"/>
      <c r="C42" s="69"/>
      <c r="D42" s="69"/>
      <c r="E42" s="69"/>
      <c r="F42" s="69"/>
      <c r="G42" s="69"/>
      <c r="H42" s="69"/>
      <c r="I42" s="69"/>
      <c r="J42" s="69"/>
      <c r="K42" s="69"/>
      <c r="L42" s="69"/>
      <c r="M42" s="69"/>
      <c r="N42" s="69"/>
      <c r="O42" s="69"/>
      <c r="P42" s="69"/>
      <c r="Q42" s="69"/>
      <c r="R42" s="69"/>
    </row>
    <row r="43" spans="2:20">
      <c r="B43" s="155" t="s">
        <v>154</v>
      </c>
      <c r="C43" s="359">
        <v>236217</v>
      </c>
      <c r="D43" s="359">
        <v>312759</v>
      </c>
      <c r="E43" s="359">
        <v>398860</v>
      </c>
      <c r="F43" s="359">
        <v>439735</v>
      </c>
      <c r="G43" s="359">
        <v>424041</v>
      </c>
      <c r="H43" s="359">
        <v>703564</v>
      </c>
      <c r="I43" s="359">
        <v>922000</v>
      </c>
      <c r="J43" s="359">
        <v>1101769</v>
      </c>
      <c r="K43" s="359">
        <f>1012901042.05/1000</f>
        <v>1012901.0420499999</v>
      </c>
      <c r="L43" s="424"/>
      <c r="M43" s="424"/>
      <c r="N43" s="424"/>
      <c r="O43" s="424"/>
      <c r="P43" s="424"/>
      <c r="Q43" s="424"/>
      <c r="R43" s="424"/>
    </row>
    <row r="44" spans="2:20">
      <c r="B44" s="155" t="s">
        <v>303</v>
      </c>
      <c r="C44" s="359">
        <v>692418</v>
      </c>
      <c r="D44" s="359">
        <v>780739</v>
      </c>
      <c r="E44" s="359">
        <v>931732</v>
      </c>
      <c r="F44" s="359">
        <v>1155641</v>
      </c>
      <c r="G44" s="359">
        <v>860976</v>
      </c>
      <c r="H44" s="359">
        <v>738712</v>
      </c>
      <c r="I44" s="359">
        <v>699515</v>
      </c>
      <c r="J44" s="359">
        <v>377547</v>
      </c>
      <c r="K44" s="359">
        <f>676627725.75/1000</f>
        <v>676627.72574999998</v>
      </c>
      <c r="L44" s="424"/>
      <c r="M44" s="424"/>
      <c r="N44" s="424"/>
      <c r="O44" s="424"/>
      <c r="P44" s="424"/>
      <c r="Q44" s="424"/>
      <c r="R44" s="424"/>
    </row>
    <row r="45" spans="2:20">
      <c r="B45" s="155" t="s">
        <v>304</v>
      </c>
      <c r="C45" s="359">
        <v>18605</v>
      </c>
      <c r="D45" s="359">
        <v>13305</v>
      </c>
      <c r="E45" s="359">
        <v>5655</v>
      </c>
      <c r="F45" s="359">
        <v>7995</v>
      </c>
      <c r="G45" s="359">
        <v>28414</v>
      </c>
      <c r="H45" s="359">
        <v>24656</v>
      </c>
      <c r="I45" s="359">
        <v>57510</v>
      </c>
      <c r="J45" s="359">
        <v>57186</v>
      </c>
      <c r="K45" s="359">
        <f>57832809.27/1000</f>
        <v>57832.809270000005</v>
      </c>
      <c r="L45" s="424"/>
      <c r="M45" s="424"/>
      <c r="N45" s="424"/>
      <c r="O45" s="424"/>
      <c r="P45" s="424"/>
      <c r="Q45" s="424"/>
      <c r="R45" s="424"/>
    </row>
    <row r="46" spans="2:20">
      <c r="B46" s="155" t="s">
        <v>305</v>
      </c>
      <c r="C46" s="359">
        <v>8875</v>
      </c>
      <c r="D46" s="359">
        <v>10344</v>
      </c>
      <c r="E46" s="359">
        <v>13763</v>
      </c>
      <c r="F46" s="359">
        <v>28244</v>
      </c>
      <c r="G46" s="359">
        <v>62701</v>
      </c>
      <c r="H46" s="359">
        <v>63007</v>
      </c>
      <c r="I46" s="359">
        <v>54572</v>
      </c>
      <c r="J46" s="359">
        <v>79989</v>
      </c>
      <c r="K46" s="359">
        <f>42662095.15/1000</f>
        <v>42662.095150000001</v>
      </c>
      <c r="L46" s="424"/>
      <c r="M46" s="424"/>
      <c r="N46" s="424"/>
      <c r="O46" s="424"/>
      <c r="P46" s="424"/>
      <c r="Q46" s="424"/>
      <c r="R46" s="424"/>
    </row>
    <row r="47" spans="2:20">
      <c r="B47" s="155" t="s">
        <v>306</v>
      </c>
      <c r="C47" s="359">
        <v>25029</v>
      </c>
      <c r="D47" s="359">
        <v>53200</v>
      </c>
      <c r="E47" s="359">
        <v>110401</v>
      </c>
      <c r="F47" s="359">
        <v>19285</v>
      </c>
      <c r="G47" s="359">
        <v>98652</v>
      </c>
      <c r="H47" s="359">
        <f>42163+153</f>
        <v>42316</v>
      </c>
      <c r="I47" s="359">
        <f>33289+125</f>
        <v>33414</v>
      </c>
      <c r="J47" s="359">
        <v>68264</v>
      </c>
      <c r="K47" s="359">
        <f>568042583.81/1000</f>
        <v>568042.58380999998</v>
      </c>
      <c r="L47" s="424"/>
      <c r="M47" s="424"/>
      <c r="N47" s="424"/>
      <c r="O47" s="424"/>
      <c r="P47" s="424"/>
      <c r="Q47" s="424"/>
      <c r="R47" s="424"/>
    </row>
    <row r="48" spans="2:20">
      <c r="B48" s="155" t="s">
        <v>292</v>
      </c>
      <c r="C48" s="359">
        <v>31433</v>
      </c>
      <c r="D48" s="359">
        <v>51651</v>
      </c>
      <c r="E48" s="359">
        <v>120544</v>
      </c>
      <c r="F48" s="359">
        <v>56604</v>
      </c>
      <c r="G48" s="359">
        <v>42583</v>
      </c>
      <c r="H48" s="359">
        <v>139866</v>
      </c>
      <c r="I48" s="359">
        <v>55230</v>
      </c>
      <c r="J48" s="359">
        <v>358969</v>
      </c>
      <c r="K48" s="359">
        <f>357105035.73/1000</f>
        <v>357105.03573</v>
      </c>
      <c r="L48" s="424"/>
      <c r="M48" s="424"/>
      <c r="N48" s="424"/>
      <c r="O48" s="424"/>
      <c r="P48" s="424"/>
      <c r="Q48" s="424"/>
      <c r="R48" s="424"/>
    </row>
    <row r="49" spans="1:20">
      <c r="B49" s="155" t="s">
        <v>307</v>
      </c>
      <c r="C49" s="359">
        <v>3428</v>
      </c>
      <c r="D49" s="359">
        <v>49689</v>
      </c>
      <c r="E49" s="359">
        <v>75564</v>
      </c>
      <c r="F49" s="359">
        <v>81813</v>
      </c>
      <c r="G49" s="359">
        <v>17543</v>
      </c>
      <c r="H49" s="359">
        <v>11567</v>
      </c>
      <c r="I49" s="359">
        <v>12273</v>
      </c>
      <c r="J49" s="359">
        <v>12273</v>
      </c>
      <c r="K49" s="359">
        <f>93774343.73/1000</f>
        <v>93774.343730000008</v>
      </c>
      <c r="L49" s="424"/>
      <c r="M49" s="424"/>
      <c r="N49" s="424"/>
      <c r="O49" s="424"/>
      <c r="P49" s="424"/>
      <c r="Q49" s="424"/>
      <c r="R49" s="424"/>
    </row>
    <row r="50" spans="1:20">
      <c r="B50" s="155" t="s">
        <v>308</v>
      </c>
      <c r="C50" s="359">
        <v>16187</v>
      </c>
      <c r="D50" s="359">
        <f>17724+400</f>
        <v>18124</v>
      </c>
      <c r="E50" s="359">
        <v>20415</v>
      </c>
      <c r="F50" s="359">
        <v>7112</v>
      </c>
      <c r="G50" s="359">
        <v>2446</v>
      </c>
      <c r="H50" s="359">
        <v>2397</v>
      </c>
      <c r="I50" s="359">
        <v>4121</v>
      </c>
      <c r="J50" s="359">
        <v>5429</v>
      </c>
      <c r="K50" s="359">
        <f>134247310.74/1000</f>
        <v>134247.31074000002</v>
      </c>
      <c r="L50" s="424"/>
      <c r="M50" s="424"/>
      <c r="N50" s="424"/>
      <c r="O50" s="424"/>
      <c r="P50" s="424"/>
      <c r="Q50" s="424"/>
      <c r="R50" s="424"/>
    </row>
    <row r="51" spans="1:20">
      <c r="B51" s="155" t="s">
        <v>309</v>
      </c>
      <c r="C51" s="359">
        <v>23923</v>
      </c>
      <c r="D51" s="359">
        <v>17758</v>
      </c>
      <c r="E51" s="359">
        <v>29100</v>
      </c>
      <c r="F51" s="359">
        <v>2086</v>
      </c>
      <c r="G51" s="359">
        <v>83598</v>
      </c>
      <c r="H51" s="359">
        <v>91804</v>
      </c>
      <c r="I51" s="359">
        <v>73759</v>
      </c>
      <c r="J51" s="359">
        <v>86332</v>
      </c>
      <c r="K51" s="359">
        <f>269803427.89/1000</f>
        <v>269803.42788999999</v>
      </c>
      <c r="L51" s="424"/>
      <c r="M51" s="424"/>
      <c r="N51" s="424"/>
      <c r="O51" s="424"/>
      <c r="P51" s="424"/>
      <c r="Q51" s="424"/>
      <c r="R51" s="424"/>
    </row>
    <row r="52" spans="1:20">
      <c r="B52" s="155" t="s">
        <v>388</v>
      </c>
      <c r="C52" s="359"/>
      <c r="D52" s="359"/>
      <c r="E52" s="359"/>
      <c r="F52" s="359"/>
      <c r="G52" s="359"/>
      <c r="H52" s="359"/>
      <c r="I52" s="359">
        <v>114567</v>
      </c>
      <c r="J52" s="359">
        <v>161258</v>
      </c>
      <c r="K52" s="359">
        <v>510418.071</v>
      </c>
      <c r="L52" s="424"/>
      <c r="M52" s="424"/>
      <c r="N52" s="424"/>
      <c r="O52" s="424"/>
      <c r="P52" s="424"/>
      <c r="Q52" s="424"/>
      <c r="R52" s="424"/>
    </row>
    <row r="53" spans="1:20">
      <c r="B53" s="155" t="s">
        <v>310</v>
      </c>
      <c r="C53" s="359">
        <v>13137</v>
      </c>
      <c r="D53" s="359">
        <v>28452</v>
      </c>
      <c r="E53" s="359">
        <v>34196</v>
      </c>
      <c r="F53" s="359">
        <v>37467</v>
      </c>
      <c r="G53" s="359">
        <v>37486</v>
      </c>
      <c r="H53" s="359">
        <v>58742</v>
      </c>
      <c r="I53" s="359">
        <v>225</v>
      </c>
      <c r="J53" s="359">
        <v>5283</v>
      </c>
      <c r="K53" s="359">
        <f>15047515.07/1000</f>
        <v>15047.515069999999</v>
      </c>
      <c r="L53" s="424"/>
      <c r="M53" s="424"/>
      <c r="N53" s="424"/>
      <c r="O53" s="424"/>
      <c r="P53" s="424"/>
      <c r="Q53" s="424"/>
      <c r="R53" s="424"/>
    </row>
    <row r="54" spans="1:20">
      <c r="B54" s="165" t="s">
        <v>311</v>
      </c>
      <c r="C54" s="360">
        <v>126494</v>
      </c>
      <c r="D54" s="360">
        <f>7044+221</f>
        <v>7265</v>
      </c>
      <c r="E54" s="360">
        <f>6693+1047</f>
        <v>7740</v>
      </c>
      <c r="F54" s="360">
        <v>2394</v>
      </c>
      <c r="G54" s="360">
        <v>3792</v>
      </c>
      <c r="H54" s="360">
        <v>13560</v>
      </c>
      <c r="I54" s="360">
        <v>16375</v>
      </c>
      <c r="J54" s="360">
        <f>21680+118</f>
        <v>21798</v>
      </c>
      <c r="K54" s="360">
        <f>22335.55285+79.2</f>
        <v>22414.752850000001</v>
      </c>
      <c r="L54" s="425"/>
      <c r="M54" s="425"/>
      <c r="N54" s="425"/>
      <c r="O54" s="425"/>
      <c r="P54" s="425"/>
      <c r="Q54" s="425"/>
      <c r="R54" s="425"/>
    </row>
    <row r="55" spans="1:20">
      <c r="B55" s="155"/>
      <c r="C55" s="8"/>
      <c r="D55" s="8"/>
      <c r="E55" s="8"/>
      <c r="F55" s="8"/>
      <c r="G55" s="8"/>
      <c r="H55" s="8"/>
      <c r="I55" s="8"/>
      <c r="J55" s="8"/>
      <c r="K55" s="8"/>
      <c r="L55" s="8"/>
      <c r="M55" s="8"/>
      <c r="N55" s="8"/>
      <c r="O55" s="8"/>
      <c r="P55" s="8"/>
      <c r="Q55" s="8"/>
      <c r="R55" s="8"/>
    </row>
    <row r="56" spans="1:20">
      <c r="B56" s="199" t="s">
        <v>312</v>
      </c>
      <c r="C56" s="167">
        <f t="shared" ref="C56:R56" si="4">SUM(C43:C54)</f>
        <v>1195746</v>
      </c>
      <c r="D56" s="167">
        <f t="shared" si="4"/>
        <v>1343286</v>
      </c>
      <c r="E56" s="167">
        <f t="shared" si="4"/>
        <v>1747970</v>
      </c>
      <c r="F56" s="167">
        <f t="shared" si="4"/>
        <v>1838376</v>
      </c>
      <c r="G56" s="167">
        <f t="shared" si="4"/>
        <v>1662232</v>
      </c>
      <c r="H56" s="167">
        <f t="shared" si="4"/>
        <v>1890191</v>
      </c>
      <c r="I56" s="167">
        <f t="shared" si="4"/>
        <v>2043561</v>
      </c>
      <c r="J56" s="167">
        <f t="shared" si="4"/>
        <v>2336097</v>
      </c>
      <c r="K56" s="167">
        <f t="shared" si="4"/>
        <v>3760876.7130399998</v>
      </c>
      <c r="L56" s="167">
        <f t="shared" si="4"/>
        <v>0</v>
      </c>
      <c r="M56" s="167">
        <f t="shared" si="4"/>
        <v>0</v>
      </c>
      <c r="N56" s="167">
        <f t="shared" si="4"/>
        <v>0</v>
      </c>
      <c r="O56" s="167">
        <f t="shared" si="4"/>
        <v>0</v>
      </c>
      <c r="P56" s="167">
        <f t="shared" si="4"/>
        <v>0</v>
      </c>
      <c r="Q56" s="167">
        <f t="shared" si="4"/>
        <v>0</v>
      </c>
      <c r="R56" s="167">
        <f t="shared" si="4"/>
        <v>0</v>
      </c>
    </row>
    <row r="57" spans="1:20">
      <c r="B57" s="81"/>
      <c r="C57" s="157"/>
      <c r="D57" s="157"/>
      <c r="E57" s="157"/>
      <c r="F57" s="157"/>
      <c r="G57" s="157"/>
      <c r="H57" s="157"/>
      <c r="I57" s="157"/>
      <c r="J57" s="157"/>
      <c r="K57" s="157"/>
      <c r="L57" s="157"/>
      <c r="M57" s="157"/>
      <c r="N57" s="157"/>
      <c r="O57" s="157"/>
      <c r="P57" s="157"/>
      <c r="Q57" s="157"/>
      <c r="R57" s="157"/>
    </row>
    <row r="58" spans="1:20">
      <c r="B58" s="155" t="s">
        <v>303</v>
      </c>
      <c r="C58" s="359">
        <v>477871</v>
      </c>
      <c r="D58" s="359">
        <v>551237</v>
      </c>
      <c r="E58" s="359">
        <v>947145</v>
      </c>
      <c r="F58" s="359">
        <v>745604</v>
      </c>
      <c r="G58" s="359">
        <v>728198</v>
      </c>
      <c r="H58" s="359">
        <v>866359</v>
      </c>
      <c r="I58" s="359">
        <v>1160251</v>
      </c>
      <c r="J58" s="359">
        <v>2039736</v>
      </c>
      <c r="K58" s="359">
        <f>1885054393.3/1000</f>
        <v>1885054.3932999999</v>
      </c>
      <c r="L58" s="424"/>
      <c r="M58" s="424"/>
      <c r="N58" s="424"/>
      <c r="O58" s="424"/>
      <c r="P58" s="424"/>
      <c r="Q58" s="424"/>
      <c r="R58" s="424"/>
    </row>
    <row r="59" spans="1:20" ht="12.75">
      <c r="A59"/>
      <c r="B59" s="155" t="s">
        <v>313</v>
      </c>
      <c r="C59" s="359">
        <v>419813</v>
      </c>
      <c r="D59" s="359">
        <v>183511</v>
      </c>
      <c r="E59" s="359">
        <v>153309</v>
      </c>
      <c r="F59" s="359">
        <v>216085</v>
      </c>
      <c r="G59" s="359">
        <v>186975</v>
      </c>
      <c r="H59" s="359">
        <v>196247</v>
      </c>
      <c r="I59" s="359">
        <v>247531</v>
      </c>
      <c r="J59" s="359">
        <v>230802</v>
      </c>
      <c r="K59" s="359">
        <v>375768.55534999998</v>
      </c>
      <c r="L59" s="424"/>
      <c r="M59" s="424"/>
      <c r="N59" s="424"/>
      <c r="O59" s="424"/>
      <c r="P59" s="424"/>
      <c r="Q59" s="424"/>
      <c r="R59" s="424"/>
      <c r="S59" s="2"/>
    </row>
    <row r="60" spans="1:20">
      <c r="B60" s="155" t="s">
        <v>292</v>
      </c>
      <c r="C60" s="359">
        <v>811</v>
      </c>
      <c r="D60" s="359">
        <v>10292</v>
      </c>
      <c r="E60" s="359">
        <v>31624</v>
      </c>
      <c r="F60" s="359">
        <v>24346</v>
      </c>
      <c r="G60" s="359">
        <v>14372</v>
      </c>
      <c r="H60" s="359">
        <v>7932</v>
      </c>
      <c r="I60" s="359">
        <v>5643</v>
      </c>
      <c r="J60" s="359">
        <v>58152</v>
      </c>
      <c r="K60" s="359">
        <f>130814623.11/1000</f>
        <v>130814.62311</v>
      </c>
      <c r="L60" s="424"/>
      <c r="M60" s="424"/>
      <c r="N60" s="424"/>
      <c r="O60" s="424"/>
      <c r="P60" s="424"/>
      <c r="Q60" s="424"/>
      <c r="R60" s="424"/>
    </row>
    <row r="61" spans="1:20">
      <c r="B61" s="155" t="s">
        <v>388</v>
      </c>
      <c r="C61" s="359"/>
      <c r="D61" s="359"/>
      <c r="E61" s="359"/>
      <c r="F61" s="359"/>
      <c r="G61" s="359"/>
      <c r="H61" s="359"/>
      <c r="I61" s="359">
        <v>515149</v>
      </c>
      <c r="J61" s="359">
        <v>772026</v>
      </c>
      <c r="K61" s="359">
        <v>2825969.7549999999</v>
      </c>
      <c r="L61" s="424"/>
      <c r="M61" s="424"/>
      <c r="N61" s="424"/>
      <c r="O61" s="424"/>
      <c r="P61" s="424"/>
      <c r="Q61" s="424"/>
      <c r="R61" s="424"/>
    </row>
    <row r="62" spans="1:20">
      <c r="B62" s="165" t="s">
        <v>314</v>
      </c>
      <c r="C62" s="360">
        <f>29216+609</f>
        <v>29825</v>
      </c>
      <c r="D62" s="360">
        <f>16751+549</f>
        <v>17300</v>
      </c>
      <c r="E62" s="360">
        <f>36700+622</f>
        <v>37322</v>
      </c>
      <c r="F62" s="360">
        <v>79</v>
      </c>
      <c r="G62" s="360">
        <v>81</v>
      </c>
      <c r="H62" s="360">
        <v>55</v>
      </c>
      <c r="I62" s="360">
        <f>161+1412</f>
        <v>1573</v>
      </c>
      <c r="J62" s="360">
        <f>706+114</f>
        <v>820</v>
      </c>
      <c r="K62" s="360">
        <f>73260.2/1000</f>
        <v>73.260199999999998</v>
      </c>
      <c r="L62" s="425"/>
      <c r="M62" s="425"/>
      <c r="N62" s="425"/>
      <c r="O62" s="425"/>
      <c r="P62" s="425"/>
      <c r="Q62" s="425"/>
      <c r="R62" s="425"/>
    </row>
    <row r="63" spans="1:20">
      <c r="B63" s="155"/>
    </row>
    <row r="64" spans="1:20">
      <c r="B64" s="199" t="s">
        <v>315</v>
      </c>
      <c r="C64" s="40">
        <f t="shared" ref="C64:J64" si="5">SUM(C58:C62)</f>
        <v>928320</v>
      </c>
      <c r="D64" s="40">
        <f t="shared" si="5"/>
        <v>762340</v>
      </c>
      <c r="E64" s="40">
        <f t="shared" si="5"/>
        <v>1169400</v>
      </c>
      <c r="F64" s="40">
        <f t="shared" si="5"/>
        <v>986114</v>
      </c>
      <c r="G64" s="40">
        <f t="shared" si="5"/>
        <v>929626</v>
      </c>
      <c r="H64" s="40">
        <f t="shared" si="5"/>
        <v>1070593</v>
      </c>
      <c r="I64" s="40">
        <f t="shared" si="5"/>
        <v>1930147</v>
      </c>
      <c r="J64" s="40">
        <f t="shared" si="5"/>
        <v>3101536</v>
      </c>
      <c r="K64" s="40">
        <f>SUM(K58:K62)</f>
        <v>5217680.58696</v>
      </c>
      <c r="L64" s="40">
        <f>SUM(L58:L62)</f>
        <v>0</v>
      </c>
      <c r="M64" s="40">
        <f t="shared" ref="M64:R64" si="6">SUM(M58:M62)</f>
        <v>0</v>
      </c>
      <c r="N64" s="40">
        <f t="shared" si="6"/>
        <v>0</v>
      </c>
      <c r="O64" s="40">
        <f t="shared" si="6"/>
        <v>0</v>
      </c>
      <c r="P64" s="40">
        <f t="shared" si="6"/>
        <v>0</v>
      </c>
      <c r="Q64" s="40">
        <f t="shared" si="6"/>
        <v>0</v>
      </c>
      <c r="R64" s="40">
        <f t="shared" si="6"/>
        <v>0</v>
      </c>
      <c r="S64" s="31"/>
      <c r="T64" s="31"/>
    </row>
    <row r="65" spans="2:24">
      <c r="B65" s="199"/>
      <c r="C65" s="40"/>
      <c r="D65" s="40"/>
      <c r="E65" s="40"/>
      <c r="F65" s="40"/>
      <c r="G65" s="40"/>
      <c r="H65" s="40"/>
      <c r="I65" s="40"/>
      <c r="J65" s="40"/>
      <c r="K65" s="40"/>
      <c r="L65" s="40"/>
      <c r="M65" s="40"/>
      <c r="N65" s="40"/>
      <c r="O65" s="40"/>
      <c r="P65" s="40"/>
      <c r="Q65" s="40"/>
      <c r="R65" s="40"/>
    </row>
    <row r="66" spans="2:24">
      <c r="B66" s="155" t="s">
        <v>316</v>
      </c>
      <c r="C66" s="359">
        <v>557434</v>
      </c>
      <c r="D66" s="359">
        <v>557434</v>
      </c>
      <c r="E66" s="359">
        <v>947522</v>
      </c>
      <c r="F66" s="359">
        <v>947522</v>
      </c>
      <c r="G66" s="359">
        <v>947522</v>
      </c>
      <c r="H66" s="359">
        <v>947522</v>
      </c>
      <c r="I66" s="359">
        <v>947522</v>
      </c>
      <c r="J66" s="359">
        <v>947522</v>
      </c>
      <c r="K66" s="359">
        <f>1512521509.85/1000</f>
        <v>1512521.5098499998</v>
      </c>
      <c r="L66" s="424"/>
      <c r="M66" s="424"/>
      <c r="N66" s="424"/>
      <c r="O66" s="424"/>
      <c r="P66" s="424"/>
      <c r="Q66" s="424"/>
      <c r="R66" s="424"/>
      <c r="T66" s="17"/>
      <c r="U66" s="17"/>
      <c r="V66" s="17"/>
      <c r="W66" s="17"/>
      <c r="X66" s="17"/>
    </row>
    <row r="67" spans="2:24">
      <c r="B67" s="155" t="s">
        <v>317</v>
      </c>
      <c r="C67" s="359">
        <f>178053+25868</f>
        <v>203921</v>
      </c>
      <c r="D67" s="359">
        <f>177984+30223-360</f>
        <v>207847</v>
      </c>
      <c r="E67" s="359">
        <f>72282+35121</f>
        <v>107403</v>
      </c>
      <c r="F67" s="359">
        <v>111636</v>
      </c>
      <c r="G67" s="359">
        <v>110566</v>
      </c>
      <c r="H67" s="359">
        <v>102704</v>
      </c>
      <c r="I67" s="359">
        <v>97760</v>
      </c>
      <c r="J67" s="359">
        <v>97504</v>
      </c>
      <c r="K67" s="359">
        <v>164952.0193300005</v>
      </c>
      <c r="L67" s="424"/>
      <c r="M67" s="424"/>
      <c r="N67" s="424"/>
      <c r="O67" s="424"/>
      <c r="P67" s="424"/>
      <c r="Q67" s="424"/>
      <c r="R67" s="424"/>
      <c r="T67" s="18"/>
      <c r="U67" s="18"/>
      <c r="V67" s="18"/>
      <c r="W67" s="18"/>
      <c r="X67" s="18"/>
    </row>
    <row r="68" spans="2:24">
      <c r="B68" s="155" t="s">
        <v>318</v>
      </c>
      <c r="C68" s="359">
        <v>-7019</v>
      </c>
      <c r="D68" s="359">
        <v>-32487</v>
      </c>
      <c r="E68" s="359">
        <v>-32347</v>
      </c>
      <c r="F68" s="359">
        <v>-30652</v>
      </c>
      <c r="G68" s="359">
        <v>-60596</v>
      </c>
      <c r="H68" s="359">
        <v>-36816</v>
      </c>
      <c r="I68" s="359">
        <v>-64321</v>
      </c>
      <c r="J68" s="359">
        <v>-52921</v>
      </c>
      <c r="K68" s="359">
        <f>-116845509.22/1000</f>
        <v>-116845.50921999999</v>
      </c>
      <c r="L68" s="424"/>
      <c r="M68" s="424"/>
      <c r="N68" s="424"/>
      <c r="O68" s="424"/>
      <c r="P68" s="424"/>
      <c r="Q68" s="424"/>
      <c r="R68" s="424"/>
      <c r="T68" s="18"/>
      <c r="U68" s="18"/>
      <c r="V68" s="18"/>
      <c r="W68" s="18"/>
      <c r="X68" s="18"/>
    </row>
    <row r="69" spans="2:24">
      <c r="B69" s="155" t="s">
        <v>319</v>
      </c>
      <c r="C69" s="359">
        <v>397216</v>
      </c>
      <c r="D69" s="359">
        <v>484936</v>
      </c>
      <c r="E69" s="359">
        <v>291798</v>
      </c>
      <c r="F69" s="359">
        <v>292744</v>
      </c>
      <c r="G69" s="359">
        <v>404975</v>
      </c>
      <c r="H69" s="359">
        <v>496797</v>
      </c>
      <c r="I69" s="359">
        <v>621831</v>
      </c>
      <c r="J69" s="359">
        <v>978074</v>
      </c>
      <c r="K69" s="359">
        <f>1174814771.32/1000</f>
        <v>1174814.7713199998</v>
      </c>
      <c r="L69" s="424"/>
      <c r="M69" s="424"/>
      <c r="N69" s="424"/>
      <c r="O69" s="424"/>
      <c r="P69" s="424"/>
      <c r="Q69" s="424"/>
      <c r="R69" s="424"/>
      <c r="T69" s="18"/>
      <c r="U69" s="18"/>
      <c r="V69" s="18"/>
      <c r="W69" s="18"/>
      <c r="X69" s="18"/>
    </row>
    <row r="70" spans="2:24">
      <c r="B70" s="155" t="s">
        <v>389</v>
      </c>
      <c r="C70" s="359">
        <v>0</v>
      </c>
      <c r="D70" s="359">
        <v>0</v>
      </c>
      <c r="E70" s="359">
        <v>0</v>
      </c>
      <c r="F70" s="359">
        <v>0</v>
      </c>
      <c r="G70" s="359">
        <v>0</v>
      </c>
      <c r="H70" s="359">
        <v>0</v>
      </c>
      <c r="I70" s="359">
        <v>0</v>
      </c>
      <c r="J70" s="359">
        <v>0</v>
      </c>
      <c r="K70" s="359">
        <v>0</v>
      </c>
      <c r="L70" s="424"/>
      <c r="M70" s="424"/>
      <c r="N70" s="424"/>
      <c r="O70" s="424"/>
      <c r="P70" s="424"/>
      <c r="Q70" s="424"/>
      <c r="R70" s="424"/>
      <c r="T70" s="18"/>
      <c r="U70" s="18"/>
      <c r="V70" s="18"/>
      <c r="W70" s="18"/>
      <c r="X70" s="18"/>
    </row>
    <row r="71" spans="2:24">
      <c r="B71" s="155" t="s">
        <v>320</v>
      </c>
      <c r="C71" s="359">
        <v>857123</v>
      </c>
      <c r="D71" s="359">
        <v>985640</v>
      </c>
      <c r="E71" s="359">
        <v>891332</v>
      </c>
      <c r="F71" s="359">
        <v>1129785</v>
      </c>
      <c r="G71" s="359">
        <v>1110732</v>
      </c>
      <c r="H71" s="359">
        <v>1087961</v>
      </c>
      <c r="I71" s="359">
        <v>1181885</v>
      </c>
      <c r="J71" s="359">
        <v>970200</v>
      </c>
      <c r="K71" s="359">
        <f>789305503.18/1000</f>
        <v>789305.50318</v>
      </c>
      <c r="L71" s="424"/>
      <c r="M71" s="424"/>
      <c r="N71" s="424"/>
      <c r="O71" s="424"/>
      <c r="P71" s="424"/>
      <c r="Q71" s="424"/>
      <c r="R71" s="424"/>
      <c r="T71" s="18"/>
      <c r="U71" s="18"/>
      <c r="V71" s="18"/>
      <c r="W71" s="18"/>
      <c r="X71" s="18"/>
    </row>
    <row r="72" spans="2:24">
      <c r="B72" s="165" t="s">
        <v>321</v>
      </c>
      <c r="C72" s="423">
        <v>128337</v>
      </c>
      <c r="D72" s="423">
        <v>189638</v>
      </c>
      <c r="E72" s="423">
        <v>186555</v>
      </c>
      <c r="F72" s="423">
        <v>177851</v>
      </c>
      <c r="G72" s="423">
        <v>188628</v>
      </c>
      <c r="H72" s="423">
        <v>196585</v>
      </c>
      <c r="I72" s="423">
        <v>199744</v>
      </c>
      <c r="J72" s="423">
        <v>210679</v>
      </c>
      <c r="K72" s="423">
        <f>251328227.41/1000</f>
        <v>251328.22740999999</v>
      </c>
      <c r="L72" s="426"/>
      <c r="M72" s="426"/>
      <c r="N72" s="426"/>
      <c r="O72" s="426"/>
      <c r="P72" s="426"/>
      <c r="Q72" s="426"/>
      <c r="R72" s="426"/>
      <c r="T72" s="18"/>
      <c r="U72" s="18"/>
      <c r="V72" s="18"/>
      <c r="W72" s="18"/>
      <c r="X72" s="18"/>
    </row>
    <row r="73" spans="2:24">
      <c r="B73" s="81"/>
      <c r="C73" s="202"/>
      <c r="D73" s="202"/>
      <c r="E73" s="202"/>
      <c r="F73" s="202"/>
      <c r="G73" s="202"/>
      <c r="H73" s="202"/>
      <c r="I73" s="202"/>
      <c r="J73" s="202"/>
      <c r="K73" s="202"/>
      <c r="L73" s="202"/>
      <c r="M73" s="202"/>
      <c r="N73" s="202"/>
      <c r="O73" s="202"/>
      <c r="P73" s="202"/>
      <c r="Q73" s="202"/>
      <c r="R73" s="202"/>
      <c r="T73" s="18"/>
      <c r="U73" s="18"/>
      <c r="V73" s="18"/>
      <c r="W73" s="18"/>
      <c r="X73" s="18"/>
    </row>
    <row r="74" spans="2:24">
      <c r="B74" s="199" t="s">
        <v>322</v>
      </c>
      <c r="C74" s="167">
        <f t="shared" ref="C74:R74" si="7">SUM(C66:C72)</f>
        <v>2137012</v>
      </c>
      <c r="D74" s="167">
        <f t="shared" si="7"/>
        <v>2393008</v>
      </c>
      <c r="E74" s="167">
        <f t="shared" si="7"/>
        <v>2392263</v>
      </c>
      <c r="F74" s="167">
        <f t="shared" si="7"/>
        <v>2628886</v>
      </c>
      <c r="G74" s="167">
        <f t="shared" si="7"/>
        <v>2701827</v>
      </c>
      <c r="H74" s="167">
        <f t="shared" si="7"/>
        <v>2794753</v>
      </c>
      <c r="I74" s="167">
        <f t="shared" si="7"/>
        <v>2984421</v>
      </c>
      <c r="J74" s="167">
        <f t="shared" si="7"/>
        <v>3151058</v>
      </c>
      <c r="K74" s="167">
        <f t="shared" si="7"/>
        <v>3776076.5218700003</v>
      </c>
      <c r="L74" s="167">
        <f t="shared" si="7"/>
        <v>0</v>
      </c>
      <c r="M74" s="167">
        <f t="shared" si="7"/>
        <v>0</v>
      </c>
      <c r="N74" s="167">
        <f t="shared" si="7"/>
        <v>0</v>
      </c>
      <c r="O74" s="167">
        <f t="shared" si="7"/>
        <v>0</v>
      </c>
      <c r="P74" s="167">
        <f t="shared" si="7"/>
        <v>0</v>
      </c>
      <c r="Q74" s="167">
        <f t="shared" si="7"/>
        <v>0</v>
      </c>
      <c r="R74" s="167">
        <f t="shared" si="7"/>
        <v>0</v>
      </c>
      <c r="T74" s="18"/>
      <c r="U74" s="18"/>
      <c r="V74" s="18"/>
      <c r="W74" s="18"/>
      <c r="X74" s="18"/>
    </row>
    <row r="75" spans="2:24">
      <c r="B75" s="81"/>
      <c r="C75" s="157"/>
      <c r="D75" s="157"/>
      <c r="E75" s="157"/>
      <c r="F75" s="157"/>
      <c r="G75" s="157"/>
      <c r="H75" s="157"/>
      <c r="I75" s="157"/>
      <c r="J75" s="157"/>
      <c r="K75" s="157"/>
      <c r="L75" s="157"/>
      <c r="M75" s="157"/>
      <c r="N75" s="157"/>
      <c r="O75" s="157"/>
      <c r="P75" s="157"/>
      <c r="Q75" s="157"/>
      <c r="R75" s="157"/>
      <c r="T75" s="18"/>
      <c r="U75" s="18"/>
      <c r="V75" s="18"/>
      <c r="W75" s="18"/>
      <c r="X75" s="18"/>
    </row>
    <row r="76" spans="2:24">
      <c r="B76" s="200" t="s">
        <v>323</v>
      </c>
      <c r="C76" s="201">
        <f t="shared" ref="C76:L76" si="8">C74+C64+C56</f>
        <v>4261078</v>
      </c>
      <c r="D76" s="201">
        <f t="shared" si="8"/>
        <v>4498634</v>
      </c>
      <c r="E76" s="201">
        <f t="shared" si="8"/>
        <v>5309633</v>
      </c>
      <c r="F76" s="201">
        <f t="shared" si="8"/>
        <v>5453376</v>
      </c>
      <c r="G76" s="201">
        <f t="shared" si="8"/>
        <v>5293685</v>
      </c>
      <c r="H76" s="201">
        <f t="shared" si="8"/>
        <v>5755537</v>
      </c>
      <c r="I76" s="201">
        <f t="shared" si="8"/>
        <v>6958129</v>
      </c>
      <c r="J76" s="201">
        <f t="shared" si="8"/>
        <v>8588691</v>
      </c>
      <c r="K76" s="201">
        <f t="shared" si="8"/>
        <v>12754633.821870001</v>
      </c>
      <c r="L76" s="201">
        <f t="shared" si="8"/>
        <v>0</v>
      </c>
      <c r="M76" s="201">
        <f t="shared" ref="M76:R76" si="9">M74+M64+M56</f>
        <v>0</v>
      </c>
      <c r="N76" s="201">
        <f t="shared" si="9"/>
        <v>0</v>
      </c>
      <c r="O76" s="201">
        <f t="shared" si="9"/>
        <v>0</v>
      </c>
      <c r="P76" s="201">
        <f t="shared" si="9"/>
        <v>0</v>
      </c>
      <c r="Q76" s="201">
        <f t="shared" si="9"/>
        <v>0</v>
      </c>
      <c r="R76" s="201">
        <f t="shared" si="9"/>
        <v>0</v>
      </c>
      <c r="T76" s="18"/>
      <c r="U76" s="18"/>
      <c r="V76" s="18"/>
      <c r="W76" s="18"/>
      <c r="X76" s="18"/>
    </row>
    <row r="77" spans="2:24">
      <c r="B77" s="19" t="s">
        <v>37</v>
      </c>
      <c r="C77" s="31">
        <f t="shared" ref="C77:L77" si="10">C41-C76</f>
        <v>0</v>
      </c>
      <c r="D77" s="31">
        <f t="shared" si="10"/>
        <v>0</v>
      </c>
      <c r="E77" s="31">
        <f t="shared" si="10"/>
        <v>0</v>
      </c>
      <c r="F77" s="31">
        <f t="shared" si="10"/>
        <v>0</v>
      </c>
      <c r="G77" s="31">
        <f t="shared" si="10"/>
        <v>0</v>
      </c>
      <c r="H77" s="31">
        <f t="shared" si="10"/>
        <v>0</v>
      </c>
      <c r="I77" s="31">
        <f t="shared" si="10"/>
        <v>0</v>
      </c>
      <c r="J77" s="31">
        <f t="shared" si="10"/>
        <v>0</v>
      </c>
      <c r="K77" s="31">
        <f t="shared" si="10"/>
        <v>0</v>
      </c>
      <c r="L77" s="31">
        <f t="shared" si="10"/>
        <v>0</v>
      </c>
      <c r="M77" s="31">
        <f t="shared" ref="M77:R77" si="11">M41-M76</f>
        <v>0</v>
      </c>
      <c r="N77" s="31">
        <f t="shared" si="11"/>
        <v>0</v>
      </c>
      <c r="O77" s="31">
        <f t="shared" si="11"/>
        <v>0</v>
      </c>
      <c r="P77" s="31">
        <f t="shared" si="11"/>
        <v>0</v>
      </c>
      <c r="Q77" s="31">
        <f t="shared" si="11"/>
        <v>0</v>
      </c>
      <c r="R77" s="31">
        <f t="shared" si="11"/>
        <v>0</v>
      </c>
      <c r="T77" s="18"/>
      <c r="U77" s="18"/>
      <c r="V77" s="18"/>
      <c r="W77" s="18"/>
      <c r="X77" s="18"/>
    </row>
    <row r="78" spans="2:24">
      <c r="B78" s="46"/>
      <c r="C78" s="40"/>
      <c r="D78" s="40"/>
      <c r="E78" s="40"/>
      <c r="F78" s="40"/>
      <c r="G78" s="40"/>
      <c r="H78" s="40"/>
      <c r="I78" s="40"/>
      <c r="J78" s="40"/>
      <c r="K78" s="40"/>
      <c r="L78" s="40"/>
      <c r="M78" s="40"/>
      <c r="N78" s="40"/>
      <c r="O78" s="40"/>
      <c r="P78" s="40"/>
      <c r="Q78" s="40"/>
      <c r="R78" s="40"/>
      <c r="T78" s="18"/>
      <c r="U78" s="18"/>
      <c r="V78" s="18"/>
      <c r="W78" s="18"/>
      <c r="X78" s="18"/>
    </row>
    <row r="79" spans="2:24">
      <c r="B79" s="19"/>
      <c r="C79" s="63"/>
      <c r="D79" s="63"/>
      <c r="E79" s="63"/>
      <c r="F79" s="63"/>
      <c r="G79" s="63"/>
      <c r="H79" s="63"/>
      <c r="I79" s="63"/>
      <c r="J79" s="63"/>
      <c r="K79" s="63"/>
      <c r="L79" s="63"/>
      <c r="M79" s="63"/>
      <c r="N79" s="63"/>
      <c r="O79" s="63"/>
      <c r="P79" s="63"/>
      <c r="Q79" s="63"/>
      <c r="R79" s="63"/>
      <c r="S79" s="18"/>
      <c r="T79" s="18"/>
      <c r="U79" s="18"/>
      <c r="V79" s="18"/>
      <c r="W79" s="18"/>
      <c r="X79" s="18"/>
    </row>
    <row r="80" spans="2:24">
      <c r="T80" s="18"/>
      <c r="U80" s="18"/>
      <c r="V80" s="18"/>
      <c r="W80" s="18"/>
      <c r="X80" s="18"/>
    </row>
    <row r="81" spans="1:25" ht="12.75">
      <c r="A81"/>
      <c r="B81" s="2"/>
      <c r="S81" s="2"/>
      <c r="T81" s="18"/>
      <c r="U81" s="18"/>
      <c r="V81" s="18"/>
      <c r="W81" s="18"/>
      <c r="X81" s="18"/>
    </row>
    <row r="82" spans="1:25" ht="12.75">
      <c r="A82"/>
      <c r="B82" s="2"/>
      <c r="S82" s="2"/>
    </row>
    <row r="83" spans="1:25">
      <c r="B83" s="5"/>
      <c r="C83" s="39"/>
      <c r="D83" s="39"/>
      <c r="E83" s="39"/>
      <c r="F83" s="39"/>
      <c r="G83" s="39"/>
      <c r="H83" s="39"/>
      <c r="I83" s="39"/>
      <c r="J83" s="39"/>
      <c r="K83" s="39"/>
      <c r="L83" s="39"/>
      <c r="M83" s="39"/>
      <c r="N83" s="39"/>
      <c r="O83" s="39"/>
      <c r="P83" s="39"/>
      <c r="Q83" s="39"/>
      <c r="R83" s="39"/>
    </row>
    <row r="84" spans="1:25">
      <c r="B84" s="5"/>
      <c r="C84" s="11"/>
      <c r="D84" s="11"/>
      <c r="E84" s="11"/>
      <c r="F84" s="11"/>
      <c r="G84" s="11"/>
      <c r="H84" s="11"/>
      <c r="I84" s="11"/>
      <c r="J84" s="11"/>
      <c r="K84" s="11"/>
      <c r="L84" s="11"/>
      <c r="M84" s="11"/>
      <c r="N84" s="11"/>
      <c r="O84" s="11"/>
      <c r="P84" s="11"/>
      <c r="Q84" s="11"/>
      <c r="R84" s="11"/>
    </row>
    <row r="85" spans="1:25">
      <c r="B85" s="2"/>
      <c r="C85" s="11"/>
      <c r="D85" s="11"/>
      <c r="E85" s="11"/>
      <c r="F85" s="11"/>
      <c r="G85" s="11"/>
      <c r="H85" s="11"/>
      <c r="I85" s="11"/>
      <c r="J85" s="11"/>
      <c r="K85" s="11"/>
      <c r="L85" s="11"/>
      <c r="M85" s="11"/>
      <c r="N85" s="11"/>
      <c r="O85" s="11"/>
      <c r="P85" s="11"/>
      <c r="Q85" s="11"/>
      <c r="R85" s="11"/>
    </row>
    <row r="86" spans="1:25">
      <c r="B86" s="5"/>
      <c r="C86" s="40"/>
      <c r="D86" s="40"/>
      <c r="E86" s="40"/>
      <c r="F86" s="40"/>
      <c r="G86" s="40"/>
      <c r="H86" s="40"/>
      <c r="I86" s="40"/>
      <c r="J86" s="40"/>
      <c r="K86" s="40"/>
      <c r="L86" s="40"/>
      <c r="M86" s="40"/>
      <c r="N86" s="40"/>
      <c r="O86" s="40"/>
      <c r="P86" s="40"/>
      <c r="Q86" s="40"/>
      <c r="R86" s="40"/>
    </row>
    <row r="87" spans="1:25" customFormat="1" ht="12.75">
      <c r="A87" s="3"/>
      <c r="B87" s="3"/>
      <c r="C87" s="8"/>
      <c r="D87" s="8"/>
      <c r="E87" s="8"/>
      <c r="F87" s="8"/>
      <c r="G87" s="8"/>
      <c r="H87" s="8"/>
      <c r="I87" s="8"/>
      <c r="J87" s="8"/>
      <c r="K87" s="8"/>
      <c r="L87" s="8"/>
      <c r="M87" s="8"/>
      <c r="N87" s="8"/>
      <c r="O87" s="8"/>
      <c r="P87" s="8"/>
      <c r="Q87" s="8"/>
      <c r="R87" s="8"/>
      <c r="S87" s="3"/>
      <c r="T87" s="2"/>
      <c r="U87" s="2"/>
      <c r="V87" s="2"/>
      <c r="W87" s="2"/>
      <c r="X87" s="2"/>
      <c r="Y87" s="2"/>
    </row>
    <row r="88" spans="1:25">
      <c r="C88" s="8"/>
      <c r="D88" s="8"/>
      <c r="E88" s="8"/>
      <c r="F88" s="8"/>
      <c r="G88" s="8"/>
      <c r="H88" s="8"/>
      <c r="I88" s="8"/>
      <c r="J88" s="8"/>
      <c r="K88" s="8"/>
      <c r="L88" s="8"/>
      <c r="M88" s="8"/>
      <c r="N88" s="8"/>
      <c r="O88" s="8"/>
      <c r="P88" s="8"/>
      <c r="Q88" s="8"/>
      <c r="R88" s="8"/>
    </row>
    <row r="89" spans="1:25">
      <c r="B89" s="2"/>
      <c r="C89" s="8"/>
      <c r="D89" s="8"/>
      <c r="E89" s="8"/>
      <c r="F89" s="8"/>
      <c r="G89" s="8"/>
      <c r="H89" s="8"/>
      <c r="I89" s="8"/>
      <c r="J89" s="8"/>
      <c r="K89" s="8"/>
      <c r="L89" s="8"/>
      <c r="M89" s="8"/>
      <c r="N89" s="8"/>
      <c r="O89" s="8"/>
      <c r="P89" s="8"/>
      <c r="Q89" s="8"/>
      <c r="R89" s="8"/>
    </row>
    <row r="90" spans="1:25">
      <c r="B90" s="5"/>
      <c r="C90" s="29"/>
      <c r="D90" s="29"/>
      <c r="E90" s="29"/>
      <c r="F90" s="29"/>
      <c r="G90" s="29"/>
      <c r="H90" s="29"/>
      <c r="I90" s="29"/>
      <c r="J90" s="29"/>
      <c r="K90" s="29"/>
      <c r="L90" s="29"/>
      <c r="M90" s="29"/>
      <c r="N90" s="29"/>
      <c r="O90" s="29"/>
      <c r="P90" s="29"/>
      <c r="Q90" s="29"/>
      <c r="R90" s="29"/>
      <c r="T90" s="8"/>
    </row>
    <row r="91" spans="1:25">
      <c r="B91" s="2"/>
      <c r="C91" s="29"/>
      <c r="D91" s="29"/>
      <c r="E91" s="29"/>
      <c r="F91" s="29"/>
      <c r="G91" s="29"/>
      <c r="H91" s="29"/>
      <c r="I91" s="29"/>
      <c r="J91" s="29"/>
      <c r="K91" s="29"/>
      <c r="L91" s="29"/>
      <c r="M91" s="29"/>
      <c r="N91" s="29"/>
      <c r="O91" s="29"/>
      <c r="P91" s="29"/>
      <c r="Q91" s="29"/>
      <c r="R91" s="29"/>
      <c r="T91" s="8"/>
    </row>
    <row r="92" spans="1:25">
      <c r="B92" s="5"/>
      <c r="C92" s="29"/>
      <c r="D92" s="29"/>
      <c r="E92" s="29"/>
      <c r="F92" s="29"/>
      <c r="G92" s="29"/>
      <c r="H92" s="29"/>
      <c r="I92" s="29"/>
      <c r="J92" s="29"/>
      <c r="K92" s="29"/>
      <c r="L92" s="29"/>
      <c r="M92" s="29"/>
      <c r="N92" s="29"/>
      <c r="O92" s="29"/>
      <c r="P92" s="29"/>
      <c r="Q92" s="29"/>
      <c r="R92" s="29"/>
    </row>
    <row r="93" spans="1:25">
      <c r="B93" s="2"/>
      <c r="C93" s="8"/>
      <c r="D93" s="8"/>
      <c r="E93" s="8"/>
      <c r="F93" s="8"/>
      <c r="G93" s="8"/>
      <c r="H93" s="8"/>
      <c r="I93" s="8"/>
      <c r="J93" s="8"/>
      <c r="K93" s="8"/>
      <c r="L93" s="8"/>
      <c r="M93" s="8"/>
      <c r="N93" s="8"/>
      <c r="O93" s="8"/>
      <c r="P93" s="8"/>
      <c r="Q93" s="8"/>
      <c r="R93" s="8"/>
    </row>
    <row r="94" spans="1:25">
      <c r="B94" s="5"/>
      <c r="C94" s="29"/>
      <c r="D94" s="29"/>
      <c r="E94" s="29"/>
      <c r="F94" s="29"/>
      <c r="G94" s="29"/>
      <c r="H94" s="29"/>
      <c r="I94" s="29"/>
      <c r="J94" s="29"/>
      <c r="K94" s="29"/>
      <c r="L94" s="29"/>
      <c r="M94" s="29"/>
      <c r="N94" s="29"/>
      <c r="O94" s="29"/>
      <c r="P94" s="29"/>
      <c r="Q94" s="29"/>
      <c r="R94" s="29"/>
    </row>
    <row r="95" spans="1:25">
      <c r="B95" s="2"/>
      <c r="C95" s="8"/>
      <c r="D95" s="8"/>
      <c r="E95" s="8"/>
      <c r="F95" s="8"/>
      <c r="G95" s="8"/>
      <c r="H95" s="8"/>
      <c r="I95" s="8"/>
      <c r="J95" s="8"/>
      <c r="K95" s="8"/>
      <c r="L95" s="8"/>
      <c r="M95" s="8"/>
      <c r="N95" s="8"/>
      <c r="O95" s="8"/>
      <c r="P95" s="8"/>
      <c r="Q95" s="8"/>
      <c r="R95" s="8"/>
    </row>
    <row r="96" spans="1:25">
      <c r="B96" s="5"/>
      <c r="C96" s="29"/>
      <c r="D96" s="29"/>
      <c r="E96" s="29"/>
      <c r="F96" s="29"/>
      <c r="G96" s="29"/>
      <c r="H96" s="29"/>
      <c r="I96" s="29"/>
      <c r="J96" s="29"/>
      <c r="K96" s="29"/>
      <c r="L96" s="29"/>
      <c r="M96" s="29"/>
      <c r="N96" s="29"/>
      <c r="O96" s="29"/>
      <c r="P96" s="29"/>
      <c r="Q96" s="29"/>
      <c r="R96" s="29"/>
    </row>
    <row r="97" spans="1:25">
      <c r="B97" s="2"/>
      <c r="C97" s="8"/>
      <c r="D97" s="8"/>
      <c r="E97" s="8"/>
      <c r="F97" s="8"/>
      <c r="G97" s="8"/>
      <c r="H97" s="8"/>
      <c r="I97" s="8"/>
      <c r="J97" s="8"/>
      <c r="K97" s="8"/>
      <c r="L97" s="8"/>
      <c r="M97" s="8"/>
      <c r="N97" s="8"/>
      <c r="O97" s="8"/>
      <c r="P97" s="8"/>
      <c r="Q97" s="8"/>
      <c r="R97" s="8"/>
    </row>
    <row r="98" spans="1:25">
      <c r="C98" s="8"/>
      <c r="D98" s="8"/>
      <c r="E98" s="8"/>
      <c r="F98" s="8"/>
      <c r="G98" s="8"/>
      <c r="H98" s="8"/>
      <c r="I98" s="8"/>
      <c r="J98" s="8"/>
      <c r="K98" s="8"/>
      <c r="L98" s="8"/>
      <c r="M98" s="8"/>
      <c r="N98" s="8"/>
      <c r="O98" s="8"/>
      <c r="P98" s="8"/>
      <c r="Q98" s="8"/>
      <c r="R98" s="8"/>
    </row>
    <row r="99" spans="1:25">
      <c r="B99" s="2"/>
      <c r="C99" s="8"/>
      <c r="D99" s="8"/>
      <c r="E99" s="8"/>
      <c r="F99" s="8"/>
      <c r="G99" s="8"/>
      <c r="H99" s="8"/>
      <c r="I99" s="8"/>
      <c r="J99" s="8"/>
      <c r="K99" s="8"/>
      <c r="L99" s="8"/>
      <c r="M99" s="8"/>
      <c r="N99" s="8"/>
      <c r="O99" s="8"/>
      <c r="P99" s="8"/>
      <c r="Q99" s="8"/>
      <c r="R99" s="8"/>
    </row>
    <row r="101" spans="1:25">
      <c r="B101" s="5"/>
      <c r="C101" s="29"/>
      <c r="D101" s="29"/>
      <c r="E101" s="29"/>
      <c r="F101" s="29"/>
      <c r="G101" s="29"/>
      <c r="H101" s="29"/>
      <c r="I101" s="29"/>
      <c r="J101" s="29"/>
      <c r="K101" s="29"/>
      <c r="L101" s="29"/>
      <c r="M101" s="29"/>
      <c r="N101" s="29"/>
      <c r="O101" s="29"/>
      <c r="P101" s="29"/>
      <c r="Q101" s="29"/>
      <c r="R101" s="29"/>
    </row>
    <row r="102" spans="1:25">
      <c r="B102" s="5"/>
      <c r="C102" s="29"/>
      <c r="D102" s="29"/>
      <c r="E102" s="29"/>
      <c r="F102" s="29"/>
      <c r="G102" s="29"/>
      <c r="H102" s="29"/>
      <c r="I102" s="29"/>
      <c r="J102" s="29"/>
      <c r="K102" s="29"/>
      <c r="L102" s="29"/>
      <c r="M102" s="29"/>
      <c r="N102" s="29"/>
      <c r="O102" s="29"/>
      <c r="P102" s="29"/>
      <c r="Q102" s="29"/>
      <c r="R102" s="29"/>
    </row>
    <row r="103" spans="1:25">
      <c r="B103" s="12"/>
      <c r="C103" s="29"/>
      <c r="D103" s="29"/>
      <c r="E103" s="29"/>
      <c r="F103" s="29"/>
      <c r="G103" s="29"/>
      <c r="H103" s="29"/>
      <c r="I103" s="29"/>
      <c r="J103" s="29"/>
      <c r="K103" s="29"/>
      <c r="L103" s="29"/>
      <c r="M103" s="29"/>
      <c r="N103" s="29"/>
      <c r="O103" s="29"/>
      <c r="P103" s="29"/>
      <c r="Q103" s="29"/>
      <c r="R103" s="29"/>
    </row>
    <row r="104" spans="1:25" customFormat="1" ht="12.75">
      <c r="A104" s="3"/>
      <c r="B104" s="3"/>
      <c r="C104" s="8"/>
      <c r="D104" s="8"/>
      <c r="E104" s="8"/>
      <c r="F104" s="8"/>
      <c r="G104" s="8"/>
      <c r="H104" s="8"/>
      <c r="I104" s="8"/>
      <c r="J104" s="8"/>
      <c r="K104" s="8"/>
      <c r="L104" s="8"/>
      <c r="M104" s="8"/>
      <c r="N104" s="8"/>
      <c r="O104" s="8"/>
      <c r="P104" s="8"/>
      <c r="Q104" s="8"/>
      <c r="R104" s="8"/>
      <c r="S104" s="3"/>
      <c r="T104" s="2"/>
      <c r="U104" s="2"/>
      <c r="V104" s="2"/>
      <c r="W104" s="2"/>
      <c r="X104" s="2"/>
      <c r="Y104" s="2"/>
    </row>
    <row r="105" spans="1:25" customFormat="1" ht="12.75">
      <c r="A105" s="3"/>
      <c r="B105" s="12"/>
      <c r="C105" s="8"/>
      <c r="D105" s="8"/>
      <c r="E105" s="8"/>
      <c r="F105" s="8"/>
      <c r="G105" s="8"/>
      <c r="H105" s="8"/>
      <c r="I105" s="8"/>
      <c r="J105" s="8"/>
      <c r="K105" s="8"/>
      <c r="L105" s="8"/>
      <c r="M105" s="8"/>
      <c r="N105" s="8"/>
      <c r="O105" s="8"/>
      <c r="P105" s="8"/>
      <c r="Q105" s="8"/>
      <c r="R105" s="8"/>
      <c r="S105" s="3"/>
      <c r="T105" s="2"/>
      <c r="U105" s="2"/>
      <c r="V105" s="2"/>
      <c r="W105" s="2"/>
      <c r="X105" s="2"/>
      <c r="Y105" s="2"/>
    </row>
    <row r="106" spans="1:25" customFormat="1" ht="12.75">
      <c r="A106" s="3"/>
      <c r="B106" s="2"/>
      <c r="C106" s="8"/>
      <c r="D106" s="8"/>
      <c r="E106" s="8"/>
      <c r="F106" s="8"/>
      <c r="G106" s="8"/>
      <c r="H106" s="8"/>
      <c r="I106" s="8"/>
      <c r="J106" s="8"/>
      <c r="K106" s="8"/>
      <c r="L106" s="8"/>
      <c r="M106" s="8"/>
      <c r="N106" s="8"/>
      <c r="O106" s="8"/>
      <c r="P106" s="8"/>
      <c r="Q106" s="8"/>
      <c r="R106" s="8"/>
      <c r="S106" s="3"/>
      <c r="T106" s="2"/>
      <c r="U106" s="2"/>
      <c r="V106" s="2"/>
      <c r="W106" s="2"/>
      <c r="X106" s="2"/>
      <c r="Y106" s="2"/>
    </row>
    <row r="107" spans="1:25" customFormat="1" ht="12.75">
      <c r="A107" s="3"/>
      <c r="B107" s="12"/>
      <c r="C107" s="8"/>
      <c r="D107" s="8"/>
      <c r="E107" s="8"/>
      <c r="F107" s="8"/>
      <c r="G107" s="8"/>
      <c r="H107" s="8"/>
      <c r="I107" s="8"/>
      <c r="J107" s="8"/>
      <c r="K107" s="8"/>
      <c r="L107" s="8"/>
      <c r="M107" s="8"/>
      <c r="N107" s="8"/>
      <c r="O107" s="8"/>
      <c r="P107" s="8"/>
      <c r="Q107" s="8"/>
      <c r="R107" s="8"/>
      <c r="S107" s="3"/>
      <c r="T107" s="2"/>
      <c r="U107" s="2"/>
      <c r="V107" s="2"/>
      <c r="W107" s="2"/>
      <c r="X107" s="2"/>
      <c r="Y107" s="2"/>
    </row>
    <row r="108" spans="1:25" customFormat="1" ht="12.75">
      <c r="A108" s="3"/>
      <c r="B108" s="2"/>
      <c r="C108" s="8"/>
      <c r="D108" s="8"/>
      <c r="E108" s="8"/>
      <c r="F108" s="8"/>
      <c r="G108" s="8"/>
      <c r="H108" s="8"/>
      <c r="I108" s="8"/>
      <c r="J108" s="8"/>
      <c r="K108" s="8"/>
      <c r="L108" s="8"/>
      <c r="M108" s="8"/>
      <c r="N108" s="8"/>
      <c r="O108" s="8"/>
      <c r="P108" s="8"/>
      <c r="Q108" s="8"/>
      <c r="R108" s="8"/>
      <c r="S108" s="3"/>
      <c r="T108" s="2"/>
      <c r="U108" s="2"/>
      <c r="V108" s="2"/>
      <c r="W108" s="2"/>
      <c r="X108" s="2"/>
      <c r="Y108" s="2"/>
    </row>
    <row r="109" spans="1:25" customFormat="1" ht="12.75">
      <c r="A109" s="3"/>
      <c r="B109" s="12"/>
      <c r="C109" s="8"/>
      <c r="D109" s="8"/>
      <c r="E109" s="8"/>
      <c r="F109" s="8"/>
      <c r="G109" s="8"/>
      <c r="H109" s="8"/>
      <c r="I109" s="8"/>
      <c r="J109" s="8"/>
      <c r="K109" s="8"/>
      <c r="L109" s="8"/>
      <c r="M109" s="8"/>
      <c r="N109" s="8"/>
      <c r="O109" s="8"/>
      <c r="P109" s="8"/>
      <c r="Q109" s="8"/>
      <c r="R109" s="8"/>
      <c r="S109" s="3"/>
      <c r="T109" s="2"/>
      <c r="U109" s="2"/>
      <c r="V109" s="2"/>
      <c r="W109" s="2"/>
      <c r="X109" s="2"/>
      <c r="Y109" s="2"/>
    </row>
    <row r="110" spans="1:25">
      <c r="C110" s="8"/>
      <c r="D110" s="8"/>
      <c r="E110" s="8"/>
      <c r="F110" s="8"/>
      <c r="G110" s="8"/>
      <c r="H110" s="8"/>
      <c r="I110" s="8"/>
      <c r="J110" s="8"/>
      <c r="K110" s="8"/>
      <c r="L110" s="8"/>
      <c r="M110" s="8"/>
      <c r="N110" s="8"/>
      <c r="O110" s="8"/>
      <c r="P110" s="8"/>
      <c r="Q110" s="8"/>
      <c r="R110" s="8"/>
    </row>
    <row r="111" spans="1:25">
      <c r="B111" s="29"/>
      <c r="C111" s="29"/>
      <c r="D111" s="29"/>
      <c r="E111" s="29"/>
      <c r="F111" s="29"/>
      <c r="G111" s="29"/>
      <c r="H111" s="29"/>
      <c r="I111" s="29"/>
      <c r="J111" s="29"/>
      <c r="K111" s="29"/>
      <c r="L111" s="29"/>
      <c r="M111" s="29"/>
      <c r="N111" s="29"/>
      <c r="O111" s="29"/>
      <c r="P111" s="29"/>
      <c r="Q111" s="29"/>
      <c r="R111" s="29"/>
    </row>
    <row r="112" spans="1:25">
      <c r="C112" s="8"/>
      <c r="D112" s="8"/>
      <c r="E112" s="8"/>
      <c r="F112" s="8"/>
      <c r="G112" s="8"/>
      <c r="H112" s="8"/>
      <c r="I112" s="8"/>
      <c r="J112" s="8"/>
      <c r="K112" s="8"/>
      <c r="L112" s="8"/>
      <c r="M112" s="8"/>
      <c r="N112" s="8"/>
      <c r="O112" s="8"/>
      <c r="P112" s="8"/>
      <c r="Q112" s="8"/>
      <c r="R112" s="8"/>
    </row>
    <row r="113" spans="2:20">
      <c r="B113" s="5"/>
      <c r="C113" s="8"/>
      <c r="D113" s="8"/>
      <c r="E113" s="8"/>
      <c r="F113" s="8"/>
      <c r="G113" s="8"/>
      <c r="H113" s="8"/>
      <c r="I113" s="8"/>
      <c r="J113" s="8"/>
      <c r="K113" s="8"/>
      <c r="L113" s="8"/>
      <c r="M113" s="8"/>
      <c r="N113" s="8"/>
      <c r="O113" s="8"/>
      <c r="P113" s="8"/>
      <c r="Q113" s="8"/>
      <c r="R113" s="8"/>
      <c r="S113" s="8"/>
    </row>
    <row r="114" spans="2:20">
      <c r="C114" s="8"/>
      <c r="D114" s="8"/>
      <c r="E114" s="8"/>
      <c r="F114" s="8"/>
      <c r="G114" s="8"/>
      <c r="H114" s="8"/>
      <c r="I114" s="8"/>
      <c r="J114" s="8"/>
      <c r="K114" s="8"/>
      <c r="L114" s="8"/>
      <c r="M114" s="8"/>
      <c r="N114" s="8"/>
      <c r="O114" s="8"/>
      <c r="P114" s="8"/>
      <c r="Q114" s="8"/>
      <c r="R114" s="8"/>
      <c r="S114" s="8"/>
    </row>
    <row r="125" spans="2:20">
      <c r="T125" s="8"/>
    </row>
    <row r="126" spans="2:20">
      <c r="T126" s="8"/>
    </row>
    <row r="127" spans="2:20">
      <c r="T127" s="8"/>
    </row>
    <row r="128" spans="2:20">
      <c r="T128" s="8"/>
    </row>
    <row r="129" spans="20:24">
      <c r="T129" s="8"/>
    </row>
    <row r="130" spans="20:24">
      <c r="T130" s="8"/>
    </row>
    <row r="131" spans="20:24">
      <c r="X131" s="8"/>
    </row>
    <row r="132" spans="20:24">
      <c r="V132" s="9"/>
      <c r="W132" s="10"/>
      <c r="X132" s="8"/>
    </row>
    <row r="133" spans="20:24">
      <c r="X133" s="8"/>
    </row>
  </sheetData>
  <sheetProtection selectLockedCells="1" selectUnlockedCells="1"/>
  <phoneticPr fontId="3" type="noConversion"/>
  <pageMargins left="0.78740157499999996" right="0.78740157499999996" top="0.984251969" bottom="0.984251969" header="0.49212598499999999" footer="0.49212598499999999"/>
  <pageSetup paperSize="9" scale="65"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Planilha13"/>
  <dimension ref="A1:T76"/>
  <sheetViews>
    <sheetView showGridLines="0" topLeftCell="C1" zoomScaleNormal="90" workbookViewId="0">
      <selection activeCell="M28" sqref="M28"/>
    </sheetView>
  </sheetViews>
  <sheetFormatPr defaultColWidth="0" defaultRowHeight="15"/>
  <cols>
    <col min="1" max="1" width="3.42578125" style="176" customWidth="1"/>
    <col min="2" max="2" width="24.140625" style="178" bestFit="1" customWidth="1"/>
    <col min="3" max="3" width="26.42578125" style="178" bestFit="1" customWidth="1"/>
    <col min="4" max="4" width="10.28515625" style="178" customWidth="1"/>
    <col min="5" max="5" width="10.5703125" style="178" bestFit="1" customWidth="1"/>
    <col min="6" max="10" width="8.7109375" style="178" bestFit="1" customWidth="1"/>
    <col min="11" max="13" width="8.7109375" style="178" customWidth="1"/>
    <col min="14" max="20" width="8.7109375" style="178" hidden="1" customWidth="1"/>
    <col min="21" max="21" width="3.28515625" style="178" customWidth="1"/>
    <col min="22" max="16384" width="0" style="178" hidden="1"/>
  </cols>
  <sheetData>
    <row r="1" spans="1:20" s="45" customFormat="1" ht="21.75" customHeight="1">
      <c r="A1" s="172"/>
      <c r="B1" s="154" t="s">
        <v>2</v>
      </c>
      <c r="C1" s="154"/>
      <c r="D1" s="154"/>
      <c r="E1" s="183"/>
      <c r="F1" s="183"/>
      <c r="G1" s="183"/>
      <c r="H1" s="183"/>
      <c r="I1" s="183"/>
      <c r="J1" s="183"/>
      <c r="K1" s="183"/>
      <c r="L1" s="183"/>
      <c r="M1" s="183"/>
      <c r="N1" s="183"/>
      <c r="O1" s="183"/>
      <c r="P1" s="183"/>
      <c r="Q1" s="183"/>
      <c r="R1" s="183"/>
      <c r="S1" s="183"/>
      <c r="T1" s="183"/>
    </row>
    <row r="2" spans="1:20" s="45" customFormat="1" ht="16.5" customHeight="1">
      <c r="A2" s="101"/>
      <c r="B2" s="161" t="s">
        <v>38</v>
      </c>
      <c r="C2" s="161"/>
      <c r="D2" s="161"/>
      <c r="E2" s="183"/>
      <c r="F2" s="183"/>
      <c r="G2" s="183"/>
      <c r="H2" s="183"/>
      <c r="I2" s="183"/>
      <c r="J2" s="183"/>
      <c r="K2" s="146"/>
      <c r="L2" s="146"/>
      <c r="M2" s="146"/>
      <c r="N2" s="146"/>
      <c r="O2" s="146"/>
      <c r="P2" s="146"/>
      <c r="Q2" s="146"/>
      <c r="R2" s="146"/>
      <c r="S2" s="146"/>
      <c r="T2" s="146"/>
    </row>
    <row r="3" spans="1:20" s="45" customFormat="1" ht="24" customHeight="1">
      <c r="A3" s="101"/>
    </row>
    <row r="4" spans="1:20" s="45" customFormat="1" ht="15" customHeight="1">
      <c r="A4" s="101"/>
    </row>
    <row r="5" spans="1:20" s="174" customFormat="1" ht="5.25" customHeight="1">
      <c r="A5" s="173"/>
    </row>
    <row r="6" spans="1:20" s="174" customFormat="1" ht="5.25" customHeight="1" thickBot="1">
      <c r="A6" s="173"/>
      <c r="B6" s="175"/>
      <c r="C6" s="175"/>
      <c r="D6" s="175"/>
      <c r="E6" s="175"/>
      <c r="F6" s="175"/>
      <c r="G6" s="175"/>
      <c r="H6" s="175"/>
      <c r="I6" s="175"/>
      <c r="J6" s="175"/>
      <c r="K6" s="175"/>
      <c r="L6" s="175"/>
      <c r="M6" s="175"/>
      <c r="N6" s="175"/>
      <c r="O6" s="175"/>
      <c r="P6" s="175"/>
      <c r="Q6" s="175"/>
      <c r="R6" s="175"/>
      <c r="S6" s="175"/>
      <c r="T6" s="175"/>
    </row>
    <row r="7" spans="1:20" s="174" customFormat="1" ht="9.75" customHeight="1">
      <c r="A7" s="173"/>
    </row>
    <row r="8" spans="1:20" ht="11.25" customHeight="1">
      <c r="B8" s="161" t="s">
        <v>324</v>
      </c>
      <c r="C8" s="161"/>
      <c r="D8" s="161"/>
      <c r="E8" s="529">
        <v>2013</v>
      </c>
      <c r="F8" s="529">
        <v>2014</v>
      </c>
      <c r="G8" s="529">
        <v>2015</v>
      </c>
      <c r="H8" s="529">
        <v>2016</v>
      </c>
      <c r="I8" s="529">
        <v>2017</v>
      </c>
      <c r="J8" s="529">
        <v>2018</v>
      </c>
      <c r="K8" s="529">
        <v>2019</v>
      </c>
      <c r="L8" s="529">
        <v>2020</v>
      </c>
      <c r="M8" s="529">
        <v>2021</v>
      </c>
      <c r="N8" s="529">
        <v>2022</v>
      </c>
      <c r="O8" s="529">
        <v>2023</v>
      </c>
      <c r="P8" s="529">
        <v>2024</v>
      </c>
      <c r="Q8" s="529">
        <v>2025</v>
      </c>
      <c r="R8" s="529">
        <v>2026</v>
      </c>
      <c r="S8" s="529">
        <v>2027</v>
      </c>
      <c r="T8" s="529">
        <v>2028</v>
      </c>
    </row>
    <row r="9" spans="1:20" ht="11.25" customHeight="1">
      <c r="B9" s="161" t="s">
        <v>325</v>
      </c>
      <c r="C9" s="161"/>
      <c r="D9" s="262" t="s">
        <v>326</v>
      </c>
      <c r="E9" s="233"/>
      <c r="F9" s="235"/>
      <c r="G9" s="235"/>
      <c r="H9" s="236"/>
      <c r="I9" s="233"/>
      <c r="J9" s="233"/>
      <c r="K9" s="233"/>
      <c r="L9" s="233"/>
      <c r="M9" s="234"/>
      <c r="N9" s="234"/>
      <c r="O9" s="234"/>
      <c r="P9" s="234"/>
      <c r="Q9" s="234"/>
      <c r="R9" s="234"/>
      <c r="S9" s="234"/>
      <c r="T9" s="234"/>
    </row>
    <row r="10" spans="1:20" ht="12" customHeight="1">
      <c r="B10" s="223" t="s">
        <v>327</v>
      </c>
      <c r="C10" s="222" t="s">
        <v>328</v>
      </c>
      <c r="D10" s="264" t="s">
        <v>46</v>
      </c>
      <c r="E10" s="437">
        <f>BS!C21/BS!C56</f>
        <v>1.2157807761849089</v>
      </c>
      <c r="F10" s="437">
        <f>BS!D21/BS!D56</f>
        <v>1.201115771324945</v>
      </c>
      <c r="G10" s="437">
        <f>BS!E21/BS!E56</f>
        <v>1.245357757856256</v>
      </c>
      <c r="H10" s="437">
        <f>BS!F21/BS!F56</f>
        <v>1.2686022881064591</v>
      </c>
      <c r="I10" s="437">
        <f>BS!G21/BS!G56</f>
        <v>1.3538056059563286</v>
      </c>
      <c r="J10" s="437">
        <f>BS!H21/BS!H56</f>
        <v>1.366013275907038</v>
      </c>
      <c r="K10" s="437">
        <f>BS!I21/BS!I56</f>
        <v>1.5124628038996635</v>
      </c>
      <c r="L10" s="437">
        <f>BS!J21/BS!J56</f>
        <v>1.7984612796472064</v>
      </c>
      <c r="M10" s="437">
        <f>BS!K21/BS!K56</f>
        <v>1.3467620704311372</v>
      </c>
      <c r="N10" s="238" t="e">
        <f>BS!L21/BS!L56</f>
        <v>#DIV/0!</v>
      </c>
      <c r="O10" s="238" t="e">
        <f>BS!M21/BS!M56</f>
        <v>#DIV/0!</v>
      </c>
      <c r="P10" s="238" t="e">
        <f>BS!N21/BS!N56</f>
        <v>#DIV/0!</v>
      </c>
      <c r="Q10" s="238" t="e">
        <f>BS!O21/BS!O56</f>
        <v>#DIV/0!</v>
      </c>
      <c r="R10" s="238" t="e">
        <f>BS!P21/BS!P56</f>
        <v>#DIV/0!</v>
      </c>
      <c r="S10" s="238" t="e">
        <f>BS!Q21/BS!Q56</f>
        <v>#DIV/0!</v>
      </c>
      <c r="T10" s="238" t="e">
        <f>BS!R21/BS!R56</f>
        <v>#DIV/0!</v>
      </c>
    </row>
    <row r="11" spans="1:20" ht="12" customHeight="1">
      <c r="B11" s="223" t="s">
        <v>329</v>
      </c>
      <c r="C11" s="222" t="s">
        <v>330</v>
      </c>
      <c r="D11" s="264" t="s">
        <v>45</v>
      </c>
      <c r="E11" s="437">
        <f>(BS!C21-BS!C12)/BS!C56</f>
        <v>0.78523867108901058</v>
      </c>
      <c r="F11" s="437">
        <f>(BS!D21-BS!D12)/BS!D56</f>
        <v>0.73799697160545108</v>
      </c>
      <c r="G11" s="437">
        <f>(BS!E21-BS!E12)/BS!E56</f>
        <v>0.82876479573448059</v>
      </c>
      <c r="H11" s="437">
        <f>(BS!F21-BS!F12)/BS!F56</f>
        <v>1.0040073412620705</v>
      </c>
      <c r="I11" s="437">
        <f>(BS!G21-BS!G12)/BS!G56</f>
        <v>1.0111795465374267</v>
      </c>
      <c r="J11" s="437">
        <f>(BS!H21-BS!H12)/BS!H56</f>
        <v>0.9065242613048099</v>
      </c>
      <c r="K11" s="437">
        <f>(BS!I21-BS!I12)/BS!I56</f>
        <v>0.98820441376597024</v>
      </c>
      <c r="L11" s="437">
        <f>(BS!J21-BS!J12)/BS!J56</f>
        <v>1.2415143720487634</v>
      </c>
      <c r="M11" s="437">
        <f>(BS!K21-BS!K12)/BS!K56</f>
        <v>0.56772985862759151</v>
      </c>
      <c r="N11" s="238" t="e">
        <f>(BS!L21-BS!L12)/BS!L56</f>
        <v>#DIV/0!</v>
      </c>
      <c r="O11" s="238" t="e">
        <f>(BS!M21-BS!M12)/BS!M56</f>
        <v>#DIV/0!</v>
      </c>
      <c r="P11" s="238" t="e">
        <f>(BS!N21-BS!N12)/BS!N56</f>
        <v>#DIV/0!</v>
      </c>
      <c r="Q11" s="238" t="e">
        <f>(BS!O21-BS!O12)/BS!O56</f>
        <v>#DIV/0!</v>
      </c>
      <c r="R11" s="238" t="e">
        <f>(BS!P21-BS!P12)/BS!P56</f>
        <v>#DIV/0!</v>
      </c>
      <c r="S11" s="238" t="e">
        <f>(BS!Q21-BS!Q12)/BS!Q56</f>
        <v>#DIV/0!</v>
      </c>
      <c r="T11" s="238" t="e">
        <f>(BS!R21-BS!R12)/BS!R56</f>
        <v>#DIV/0!</v>
      </c>
    </row>
    <row r="12" spans="1:20" ht="12" customHeight="1">
      <c r="B12" s="239" t="s">
        <v>331</v>
      </c>
      <c r="C12" s="240" t="s">
        <v>332</v>
      </c>
      <c r="D12" s="263" t="s">
        <v>45</v>
      </c>
      <c r="E12" s="438">
        <f>(BS!C21+BS!C32)/(BS!C56+BS!C64)</f>
        <v>0.73889935623469327</v>
      </c>
      <c r="F12" s="438">
        <f>(BS!D21+BS!D32)/(BS!D56+BS!D64)</f>
        <v>0.8292792737171748</v>
      </c>
      <c r="G12" s="438">
        <f>(BS!E21+BS!E32)/(BS!E56+BS!E64)</f>
        <v>0.84078399380263735</v>
      </c>
      <c r="H12" s="438">
        <f>(BS!F21+BS!F32)/(BS!F56+BS!F64)</f>
        <v>0.90402975404409291</v>
      </c>
      <c r="I12" s="438">
        <f>(BS!G21+BS!G32)/(BS!G56+BS!G64)</f>
        <v>0.93873391212018564</v>
      </c>
      <c r="J12" s="438">
        <f>(BS!H21+BS!H32)/(BS!H56+BS!H64)</f>
        <v>0.93061060854152144</v>
      </c>
      <c r="K12" s="438">
        <f>(BS!I21+BS!I32)/(BS!I56+BS!I64)</f>
        <v>0.82837893473803315</v>
      </c>
      <c r="L12" s="438">
        <f>(BS!J21+BS!J32)/(BS!J56+BS!J64)</f>
        <v>0.83789527538912612</v>
      </c>
      <c r="M12" s="438">
        <f>(BS!K21+BS!K32)/(BS!K56+BS!K64)</f>
        <v>0.65281012482929746</v>
      </c>
      <c r="N12" s="241" t="e">
        <f>(BS!L21+BS!L32)/(BS!L56+BS!L64)</f>
        <v>#DIV/0!</v>
      </c>
      <c r="O12" s="241" t="e">
        <f>(BS!M21+BS!M32)/(BS!M56+BS!M64)</f>
        <v>#DIV/0!</v>
      </c>
      <c r="P12" s="241" t="e">
        <f>(BS!N21+BS!N32)/(BS!N56+BS!N64)</f>
        <v>#DIV/0!</v>
      </c>
      <c r="Q12" s="241" t="e">
        <f>(BS!O21+BS!O32)/(BS!O56+BS!O64)</f>
        <v>#DIV/0!</v>
      </c>
      <c r="R12" s="241" t="e">
        <f>(BS!P21+BS!P32)/(BS!P56+BS!P64)</f>
        <v>#DIV/0!</v>
      </c>
      <c r="S12" s="241" t="e">
        <f>(BS!Q21+BS!Q32)/(BS!Q56+BS!Q64)</f>
        <v>#DIV/0!</v>
      </c>
      <c r="T12" s="241" t="e">
        <f>(BS!R21+BS!R32)/(BS!R56+BS!R64)</f>
        <v>#DIV/0!</v>
      </c>
    </row>
    <row r="13" spans="1:20" ht="12" customHeight="1">
      <c r="B13" s="222"/>
      <c r="C13" s="222"/>
      <c r="D13" s="222"/>
      <c r="E13" s="238"/>
      <c r="F13" s="238"/>
      <c r="G13" s="238"/>
      <c r="H13" s="238"/>
      <c r="I13" s="238"/>
      <c r="J13" s="238"/>
      <c r="K13" s="238"/>
      <c r="L13" s="238"/>
      <c r="M13" s="238"/>
      <c r="N13" s="238"/>
      <c r="O13" s="238"/>
      <c r="P13" s="238"/>
      <c r="Q13" s="238"/>
      <c r="R13" s="238"/>
      <c r="S13" s="238"/>
      <c r="T13" s="238"/>
    </row>
    <row r="14" spans="1:20" ht="12" customHeight="1">
      <c r="B14" s="161" t="s">
        <v>333</v>
      </c>
      <c r="C14" s="161"/>
      <c r="D14" s="161"/>
      <c r="E14" s="233"/>
      <c r="F14" s="235"/>
      <c r="G14" s="235"/>
      <c r="H14" s="236"/>
      <c r="I14" s="233"/>
      <c r="J14" s="233"/>
      <c r="K14" s="233"/>
      <c r="L14" s="233"/>
      <c r="M14" s="233"/>
      <c r="N14" s="234"/>
      <c r="O14" s="234"/>
      <c r="P14" s="234"/>
      <c r="Q14" s="234"/>
      <c r="R14" s="234"/>
      <c r="S14" s="234"/>
      <c r="T14" s="234"/>
    </row>
    <row r="15" spans="1:20" ht="12" customHeight="1">
      <c r="B15" s="222" t="s">
        <v>334</v>
      </c>
      <c r="C15" s="222" t="s">
        <v>335</v>
      </c>
      <c r="D15" s="222" t="s">
        <v>336</v>
      </c>
      <c r="E15" s="439">
        <f>(BS!C56+BS!C64)/BS!C74</f>
        <v>0.99394200874866401</v>
      </c>
      <c r="F15" s="439">
        <f>(BS!D56+BS!D64)/BS!D74</f>
        <v>0.87990763089801627</v>
      </c>
      <c r="G15" s="439">
        <f>(BS!E56+BS!E64)/BS!E74</f>
        <v>1.2195022035620666</v>
      </c>
      <c r="H15" s="439">
        <f>(BS!F56+BS!F64)/BS!F74</f>
        <v>1.0744056608008108</v>
      </c>
      <c r="I15" s="439">
        <f>(BS!G56+BS!G64)/BS!G74</f>
        <v>0.95929828223642744</v>
      </c>
      <c r="J15" s="439">
        <f>(BS!H56+BS!H64)/BS!H74</f>
        <v>1.0594081122732493</v>
      </c>
      <c r="K15" s="439">
        <f>(BS!I56+BS!I64)/BS!I74</f>
        <v>1.3314837283345748</v>
      </c>
      <c r="L15" s="439">
        <f>(BS!J56+BS!J64)/BS!J74</f>
        <v>1.7256530981022882</v>
      </c>
      <c r="M15" s="439">
        <f>(BS!K56+BS!K64)/BS!K74</f>
        <v>2.3777477092952588</v>
      </c>
      <c r="N15" s="237" t="e">
        <f>(BS!L56+BS!L64)/BS!L74</f>
        <v>#DIV/0!</v>
      </c>
      <c r="O15" s="237" t="e">
        <f>(BS!M56+BS!M64)/BS!M74</f>
        <v>#DIV/0!</v>
      </c>
      <c r="P15" s="237" t="e">
        <f>(BS!N56+BS!N64)/BS!N74</f>
        <v>#DIV/0!</v>
      </c>
      <c r="Q15" s="237" t="e">
        <f>(BS!O56+BS!O64)/BS!O74</f>
        <v>#DIV/0!</v>
      </c>
      <c r="R15" s="237" t="e">
        <f>(BS!P56+BS!P64)/BS!P74</f>
        <v>#DIV/0!</v>
      </c>
      <c r="S15" s="237" t="e">
        <f>(BS!Q56+BS!Q64)/BS!Q74</f>
        <v>#DIV/0!</v>
      </c>
      <c r="T15" s="237" t="e">
        <f>(BS!R56+BS!R64)/BS!R74</f>
        <v>#DIV/0!</v>
      </c>
    </row>
    <row r="16" spans="1:20" ht="12" customHeight="1">
      <c r="B16" s="225" t="s">
        <v>337</v>
      </c>
      <c r="C16" s="225" t="s">
        <v>338</v>
      </c>
      <c r="D16" s="222" t="s">
        <v>336</v>
      </c>
      <c r="E16" s="379">
        <f>BS!C44/(BS!C44+BS!C58)</f>
        <v>0.59166411031804966</v>
      </c>
      <c r="F16" s="379">
        <f>BS!D44/(BS!D44+BS!D58)</f>
        <v>0.58615095166879883</v>
      </c>
      <c r="G16" s="379">
        <f>BS!E44/(BS!E44+BS!E58)</f>
        <v>0.49589834778966374</v>
      </c>
      <c r="H16" s="379">
        <f>BS!F44/(BS!F44+BS!F58)</f>
        <v>0.60783381415861715</v>
      </c>
      <c r="I16" s="379">
        <f>BS!G44/(BS!G44+BS!G58)</f>
        <v>0.54177579044207869</v>
      </c>
      <c r="J16" s="379">
        <f>BS!H44/(BS!H44+BS!H58)</f>
        <v>0.46023633845480977</v>
      </c>
      <c r="K16" s="379">
        <f>BS!I44/(BS!I44+BS!I58)</f>
        <v>0.37613065299612963</v>
      </c>
      <c r="L16" s="379">
        <f>BS!J44/(BS!J44+BS!J58)</f>
        <v>0.15618651188131469</v>
      </c>
      <c r="M16" s="379">
        <f>BS!K44/(BS!K44+BS!K58)</f>
        <v>0.26413414869793739</v>
      </c>
      <c r="N16" s="131" t="e">
        <f>BS!L44/(BS!L44+BS!L58)</f>
        <v>#DIV/0!</v>
      </c>
      <c r="O16" s="131" t="e">
        <f>BS!M44/(BS!M44+BS!M58)</f>
        <v>#DIV/0!</v>
      </c>
      <c r="P16" s="131" t="e">
        <f>BS!N44/(BS!N44+BS!N58)</f>
        <v>#DIV/0!</v>
      </c>
      <c r="Q16" s="131" t="e">
        <f>BS!O44/(BS!O44+BS!O58)</f>
        <v>#DIV/0!</v>
      </c>
      <c r="R16" s="131" t="e">
        <f>BS!P44/(BS!P44+BS!P58)</f>
        <v>#DIV/0!</v>
      </c>
      <c r="S16" s="131" t="e">
        <f>BS!Q44/(BS!Q44+BS!Q58)</f>
        <v>#DIV/0!</v>
      </c>
      <c r="T16" s="131" t="e">
        <f>BS!R44/(BS!R44+BS!R58)</f>
        <v>#DIV/0!</v>
      </c>
    </row>
    <row r="17" spans="1:20" ht="12" customHeight="1">
      <c r="B17" s="242" t="s">
        <v>339</v>
      </c>
      <c r="C17" s="242" t="s">
        <v>340</v>
      </c>
      <c r="D17" s="240" t="s">
        <v>336</v>
      </c>
      <c r="E17" s="440">
        <f>1-E16</f>
        <v>0.40833588968195034</v>
      </c>
      <c r="F17" s="440">
        <f t="shared" ref="F17:T17" si="0">1-F16</f>
        <v>0.41384904833120117</v>
      </c>
      <c r="G17" s="440">
        <f t="shared" si="0"/>
        <v>0.50410165221033632</v>
      </c>
      <c r="H17" s="440">
        <f t="shared" si="0"/>
        <v>0.39216618584138285</v>
      </c>
      <c r="I17" s="440">
        <f t="shared" si="0"/>
        <v>0.45822420955792131</v>
      </c>
      <c r="J17" s="440">
        <f t="shared" si="0"/>
        <v>0.53976366154519018</v>
      </c>
      <c r="K17" s="440">
        <f t="shared" si="0"/>
        <v>0.62386934700387031</v>
      </c>
      <c r="L17" s="440">
        <f t="shared" si="0"/>
        <v>0.84381348811868528</v>
      </c>
      <c r="M17" s="440">
        <f t="shared" si="0"/>
        <v>0.73586585130206261</v>
      </c>
      <c r="N17" s="243" t="e">
        <f t="shared" si="0"/>
        <v>#DIV/0!</v>
      </c>
      <c r="O17" s="243" t="e">
        <f t="shared" si="0"/>
        <v>#DIV/0!</v>
      </c>
      <c r="P17" s="243" t="e">
        <f t="shared" si="0"/>
        <v>#DIV/0!</v>
      </c>
      <c r="Q17" s="243" t="e">
        <f t="shared" si="0"/>
        <v>#DIV/0!</v>
      </c>
      <c r="R17" s="243" t="e">
        <f t="shared" si="0"/>
        <v>#DIV/0!</v>
      </c>
      <c r="S17" s="243" t="e">
        <f t="shared" si="0"/>
        <v>#DIV/0!</v>
      </c>
      <c r="T17" s="243" t="e">
        <f t="shared" si="0"/>
        <v>#DIV/0!</v>
      </c>
    </row>
    <row r="18" spans="1:20" s="177" customFormat="1" ht="12" customHeight="1">
      <c r="A18" s="179"/>
      <c r="B18" s="226"/>
      <c r="C18" s="226"/>
      <c r="D18" s="226"/>
      <c r="E18" s="226"/>
      <c r="F18" s="223"/>
      <c r="G18" s="223"/>
      <c r="H18" s="223"/>
      <c r="I18" s="223"/>
      <c r="J18" s="223"/>
      <c r="K18" s="223"/>
      <c r="L18" s="223"/>
      <c r="M18" s="223"/>
      <c r="N18" s="223"/>
      <c r="O18" s="223"/>
      <c r="P18" s="223"/>
      <c r="Q18" s="223"/>
      <c r="R18" s="223"/>
      <c r="S18" s="223"/>
      <c r="T18" s="223"/>
    </row>
    <row r="19" spans="1:20" ht="12" customHeight="1">
      <c r="B19" s="161" t="s">
        <v>341</v>
      </c>
      <c r="C19" s="161"/>
      <c r="D19" s="161"/>
      <c r="E19" s="233"/>
      <c r="F19" s="235"/>
      <c r="G19" s="235"/>
      <c r="H19" s="236"/>
      <c r="I19" s="233"/>
      <c r="J19" s="233"/>
      <c r="K19" s="233"/>
      <c r="L19" s="233"/>
      <c r="M19" s="233"/>
      <c r="N19" s="234"/>
      <c r="O19" s="234"/>
      <c r="P19" s="234"/>
      <c r="Q19" s="234"/>
      <c r="R19" s="234"/>
      <c r="S19" s="234"/>
      <c r="T19" s="234"/>
    </row>
    <row r="20" spans="1:20" ht="12" customHeight="1">
      <c r="B20" s="244" t="s">
        <v>342</v>
      </c>
      <c r="C20" s="244" t="s">
        <v>343</v>
      </c>
      <c r="D20" s="244" t="s">
        <v>344</v>
      </c>
      <c r="E20" s="379">
        <f>IS!D86</f>
        <v>0.12162621686148016</v>
      </c>
      <c r="F20" s="379">
        <f>IS!E86</f>
        <v>6.3233117131705124E-2</v>
      </c>
      <c r="G20" s="379">
        <f>IS!F86</f>
        <v>0.17689515779675802</v>
      </c>
      <c r="H20" s="379">
        <f>IS!G86</f>
        <v>9.7635434069223148E-3</v>
      </c>
      <c r="I20" s="379">
        <f>IS!H86</f>
        <v>0.19873568313760623</v>
      </c>
      <c r="J20" s="379">
        <f>IS!I86</f>
        <v>0.19364791280957963</v>
      </c>
      <c r="K20" s="379">
        <f>IS!J86</f>
        <v>0.12423215176141503</v>
      </c>
      <c r="L20" s="379">
        <f>IS!K86</f>
        <v>0.16495235660100338</v>
      </c>
      <c r="M20" s="379">
        <f>IS!L86</f>
        <v>0.26961027077646399</v>
      </c>
      <c r="N20" s="131" t="e">
        <f>IS!M86</f>
        <v>#DIV/0!</v>
      </c>
      <c r="O20" s="131" t="e">
        <f>IS!N86</f>
        <v>#DIV/0!</v>
      </c>
      <c r="P20" s="131" t="e">
        <f>IS!O86</f>
        <v>#DIV/0!</v>
      </c>
      <c r="Q20" s="131" t="e">
        <f>IS!P86</f>
        <v>#DIV/0!</v>
      </c>
      <c r="R20" s="131" t="e">
        <f>IS!Q86</f>
        <v>#DIV/0!</v>
      </c>
      <c r="S20" s="131" t="e">
        <f>IS!R86</f>
        <v>#DIV/0!</v>
      </c>
      <c r="T20" s="131" t="e">
        <f>IS!S86</f>
        <v>#DIV/0!</v>
      </c>
    </row>
    <row r="21" spans="1:20" s="177" customFormat="1" ht="12" customHeight="1">
      <c r="A21" s="179"/>
      <c r="B21" s="244" t="s">
        <v>345</v>
      </c>
      <c r="C21" s="244" t="s">
        <v>346</v>
      </c>
      <c r="D21" s="244" t="s">
        <v>344</v>
      </c>
      <c r="E21" s="365">
        <f>IS!D27/BS!C41</f>
        <v>0.25553368019548101</v>
      </c>
      <c r="F21" s="365">
        <f>IS!E27/BS!D41</f>
        <v>0.30283096202091575</v>
      </c>
      <c r="G21" s="365">
        <f>IS!F27/BS!E41</f>
        <v>0.32264458604766094</v>
      </c>
      <c r="H21" s="365">
        <f>IS!G27/BS!F41</f>
        <v>0.29375307922285193</v>
      </c>
      <c r="I21" s="365">
        <f>IS!H27/BS!G41</f>
        <v>0.35099434376242639</v>
      </c>
      <c r="J21" s="365">
        <f>IS!I27/BS!H41</f>
        <v>0.36472287813109361</v>
      </c>
      <c r="K21" s="365">
        <f>IS!J27/BS!I41</f>
        <v>0.36445163635224354</v>
      </c>
      <c r="L21" s="365">
        <f>IS!K27/BS!J41</f>
        <v>0.3606542116592622</v>
      </c>
      <c r="M21" s="365">
        <f>IS!L27/BS!K41</f>
        <v>0.31215445975196732</v>
      </c>
      <c r="N21" s="108" t="e">
        <f>IS!M27/BS!L41</f>
        <v>#DIV/0!</v>
      </c>
      <c r="O21" s="108" t="e">
        <f>IS!N27/BS!M41</f>
        <v>#DIV/0!</v>
      </c>
      <c r="P21" s="108" t="e">
        <f>IS!O27/BS!N41</f>
        <v>#DIV/0!</v>
      </c>
      <c r="Q21" s="108" t="e">
        <f>IS!P27/BS!O41</f>
        <v>#DIV/0!</v>
      </c>
      <c r="R21" s="108" t="e">
        <f>IS!Q27/BS!P41</f>
        <v>#DIV/0!</v>
      </c>
      <c r="S21" s="108" t="e">
        <f>IS!R27/BS!Q41</f>
        <v>#DIV/0!</v>
      </c>
      <c r="T21" s="108" t="e">
        <f>IS!S27/BS!R41</f>
        <v>#DIV/0!</v>
      </c>
    </row>
    <row r="22" spans="1:20" s="177" customFormat="1" ht="12" customHeight="1">
      <c r="A22" s="179"/>
      <c r="B22" s="244" t="s">
        <v>347</v>
      </c>
      <c r="C22" s="229" t="s">
        <v>348</v>
      </c>
      <c r="D22" s="244" t="s">
        <v>344</v>
      </c>
      <c r="E22" s="379">
        <f>IS!D85/BS!C41</f>
        <v>3.5255261399701802E-2</v>
      </c>
      <c r="F22" s="379">
        <f>IS!E85/BS!D41</f>
        <v>2.1442482562484592E-2</v>
      </c>
      <c r="G22" s="379">
        <f>IS!F85/BS!E41</f>
        <v>6.6397084241038878E-2</v>
      </c>
      <c r="H22" s="379">
        <f>IS!G85/BS!F41</f>
        <v>2.8680709399094046E-3</v>
      </c>
      <c r="I22" s="379">
        <f>IS!H85/BS!G41</f>
        <v>6.9755100685061619E-2</v>
      </c>
      <c r="J22" s="379">
        <f>IS!I85/BS!H41</f>
        <v>7.0627824103988948E-2</v>
      </c>
      <c r="K22" s="379">
        <f>IS!J85/BS!I41</f>
        <v>4.5276610997007957E-2</v>
      </c>
      <c r="L22" s="379">
        <f>IS!K85/BS!J41</f>
        <v>5.9490762131272371E-2</v>
      </c>
      <c r="M22" s="379">
        <f>IS!L85/BS!K41</f>
        <v>8.4160048417808747E-2</v>
      </c>
      <c r="N22" s="131" t="e">
        <f>IS!M85/BS!L41</f>
        <v>#DIV/0!</v>
      </c>
      <c r="O22" s="131" t="e">
        <f>IS!N85/BS!M41</f>
        <v>#DIV/0!</v>
      </c>
      <c r="P22" s="131" t="e">
        <f>IS!O85/BS!N41</f>
        <v>#DIV/0!</v>
      </c>
      <c r="Q22" s="131" t="e">
        <f>IS!P85/BS!O41</f>
        <v>#DIV/0!</v>
      </c>
      <c r="R22" s="131" t="e">
        <f>IS!Q85/BS!P41</f>
        <v>#DIV/0!</v>
      </c>
      <c r="S22" s="131" t="e">
        <f>IS!R85/BS!Q41</f>
        <v>#DIV/0!</v>
      </c>
      <c r="T22" s="131" t="e">
        <f>IS!S85/BS!R41</f>
        <v>#DIV/0!</v>
      </c>
    </row>
    <row r="23" spans="1:20" ht="12" customHeight="1">
      <c r="B23" s="245" t="s">
        <v>349</v>
      </c>
      <c r="C23" s="245" t="s">
        <v>350</v>
      </c>
      <c r="D23" s="244" t="s">
        <v>344</v>
      </c>
      <c r="E23" s="365">
        <f>BS!C41/BS!C74</f>
        <v>1.9939420087486641</v>
      </c>
      <c r="F23" s="365">
        <f>BS!D41/BS!D74</f>
        <v>1.8799076308980163</v>
      </c>
      <c r="G23" s="365">
        <f>BS!E41/BS!E74</f>
        <v>2.2195022035620666</v>
      </c>
      <c r="H23" s="365">
        <f>BS!F41/BS!F74</f>
        <v>2.0744056608008106</v>
      </c>
      <c r="I23" s="365">
        <f>BS!G41/BS!G74</f>
        <v>1.9592982822364273</v>
      </c>
      <c r="J23" s="365">
        <f>BS!H41/BS!H74</f>
        <v>2.0594081122732493</v>
      </c>
      <c r="K23" s="365">
        <f>BS!I41/BS!I74</f>
        <v>2.3314837283345748</v>
      </c>
      <c r="L23" s="365">
        <f>BS!J41/BS!J74</f>
        <v>2.7256530981022884</v>
      </c>
      <c r="M23" s="365">
        <f>BS!K41/BS!K74</f>
        <v>3.3777477092952579</v>
      </c>
      <c r="N23" s="108" t="e">
        <f>BS!L41/BS!L74</f>
        <v>#DIV/0!</v>
      </c>
      <c r="O23" s="108" t="e">
        <f>BS!M41/BS!M74</f>
        <v>#DIV/0!</v>
      </c>
      <c r="P23" s="108" t="e">
        <f>BS!N41/BS!N74</f>
        <v>#DIV/0!</v>
      </c>
      <c r="Q23" s="108" t="e">
        <f>BS!O41/BS!O74</f>
        <v>#DIV/0!</v>
      </c>
      <c r="R23" s="108" t="e">
        <f>BS!P41/BS!P74</f>
        <v>#DIV/0!</v>
      </c>
      <c r="S23" s="108" t="e">
        <f>BS!Q41/BS!Q74</f>
        <v>#DIV/0!</v>
      </c>
      <c r="T23" s="108" t="e">
        <f>BS!R41/BS!R74</f>
        <v>#DIV/0!</v>
      </c>
    </row>
    <row r="24" spans="1:20" ht="12" customHeight="1">
      <c r="B24" s="246" t="s">
        <v>351</v>
      </c>
      <c r="C24" s="246" t="s">
        <v>352</v>
      </c>
      <c r="D24" s="265" t="s">
        <v>344</v>
      </c>
      <c r="E24" s="440">
        <f>IS!D85/BS!C74</f>
        <v>7.0296946734280649E-2</v>
      </c>
      <c r="F24" s="440">
        <f>IS!E85/BS!D74</f>
        <v>4.0309886594612432E-2</v>
      </c>
      <c r="G24" s="440">
        <f>IS!F85/BS!E74</f>
        <v>0.14736847478308196</v>
      </c>
      <c r="H24" s="440">
        <f>IS!G85/BS!F74</f>
        <v>5.9495425933263702E-3</v>
      </c>
      <c r="I24" s="440">
        <f>IS!H85/BS!G74</f>
        <v>0.13667104894947027</v>
      </c>
      <c r="J24" s="440">
        <f>IS!I85/BS!H74</f>
        <v>0.14545151391196298</v>
      </c>
      <c r="K24" s="440">
        <f>IS!J85/BS!I74</f>
        <v>0.10556168181365833</v>
      </c>
      <c r="L24" s="440">
        <f>IS!K85/BS!J74</f>
        <v>0.16215118011156882</v>
      </c>
      <c r="M24" s="440">
        <f>IS!L85/BS!K74</f>
        <v>0.28427141075743151</v>
      </c>
      <c r="N24" s="243" t="e">
        <f>IS!M85/BS!L74</f>
        <v>#DIV/0!</v>
      </c>
      <c r="O24" s="243" t="e">
        <f>IS!N85/BS!M74</f>
        <v>#DIV/0!</v>
      </c>
      <c r="P24" s="243" t="e">
        <f>IS!O85/BS!N74</f>
        <v>#DIV/0!</v>
      </c>
      <c r="Q24" s="243" t="e">
        <f>IS!P85/BS!O74</f>
        <v>#DIV/0!</v>
      </c>
      <c r="R24" s="243" t="e">
        <f>IS!Q85/BS!P74</f>
        <v>#DIV/0!</v>
      </c>
      <c r="S24" s="243" t="e">
        <f>IS!R85/BS!Q74</f>
        <v>#DIV/0!</v>
      </c>
      <c r="T24" s="243" t="e">
        <f>IS!S85/BS!R74</f>
        <v>#DIV/0!</v>
      </c>
    </row>
    <row r="25" spans="1:20" ht="12" customHeight="1">
      <c r="B25" s="227"/>
      <c r="C25" s="227"/>
      <c r="D25" s="227"/>
      <c r="E25" s="227"/>
      <c r="F25" s="198"/>
      <c r="G25" s="164"/>
      <c r="H25" s="163"/>
      <c r="I25" s="222"/>
      <c r="J25" s="222"/>
      <c r="K25" s="222"/>
      <c r="L25" s="222"/>
      <c r="M25" s="222"/>
      <c r="N25" s="222"/>
      <c r="O25" s="222"/>
      <c r="P25" s="222"/>
      <c r="Q25" s="222"/>
      <c r="R25" s="222"/>
      <c r="S25" s="222"/>
      <c r="T25" s="222"/>
    </row>
    <row r="26" spans="1:20" ht="12" customHeight="1">
      <c r="B26" s="161" t="s">
        <v>353</v>
      </c>
      <c r="C26" s="161"/>
      <c r="D26" s="161"/>
      <c r="E26" s="233"/>
      <c r="F26" s="235"/>
      <c r="G26" s="235"/>
      <c r="H26" s="236"/>
      <c r="I26" s="233"/>
      <c r="J26" s="233"/>
      <c r="K26" s="233"/>
      <c r="L26" s="233"/>
      <c r="M26" s="233"/>
      <c r="N26" s="234"/>
      <c r="O26" s="234"/>
      <c r="P26" s="234"/>
      <c r="Q26" s="234"/>
      <c r="R26" s="234"/>
      <c r="S26" s="234"/>
      <c r="T26" s="234"/>
    </row>
    <row r="27" spans="1:20" ht="12" customHeight="1">
      <c r="B27" s="164" t="s">
        <v>354</v>
      </c>
      <c r="C27" s="164" t="s">
        <v>355</v>
      </c>
      <c r="D27" s="244" t="s">
        <v>344</v>
      </c>
      <c r="E27" s="441">
        <f>IS!D77/IS!D81</f>
        <v>-8.1986101433903915</v>
      </c>
      <c r="F27" s="441">
        <f>IS!E77/IS!E81</f>
        <v>-2.1343315124667779</v>
      </c>
      <c r="G27" s="441">
        <f>IS!F77/IS!F81</f>
        <v>-4.3491510570233549</v>
      </c>
      <c r="H27" s="441">
        <f>IS!G77/IS!G81</f>
        <v>-0.96365041732302104</v>
      </c>
      <c r="I27" s="441">
        <f>IS!H77/IS!H81</f>
        <v>-6.4183269876095599</v>
      </c>
      <c r="J27" s="441">
        <f>IS!I77/IS!I81</f>
        <v>-9.0505401351202632</v>
      </c>
      <c r="K27" s="441">
        <f>IS!J77/IS!J81</f>
        <v>-3.8785872960777508</v>
      </c>
      <c r="L27" s="441">
        <f>IS!K77/IS!K81</f>
        <v>-8.5256551843841759</v>
      </c>
      <c r="M27" s="441">
        <f>IS!L77/IS!L81</f>
        <v>-6.4221931526569449</v>
      </c>
      <c r="N27" s="248" t="e">
        <f>IS!M77/IS!M81</f>
        <v>#DIV/0!</v>
      </c>
      <c r="O27" s="248" t="e">
        <f>IS!N77/IS!N81</f>
        <v>#DIV/0!</v>
      </c>
      <c r="P27" s="248" t="e">
        <f>IS!O77/IS!O81</f>
        <v>#DIV/0!</v>
      </c>
      <c r="Q27" s="248" t="e">
        <f>IS!P77/IS!P81</f>
        <v>#DIV/0!</v>
      </c>
      <c r="R27" s="248" t="e">
        <f>IS!Q77/IS!Q81</f>
        <v>#DIV/0!</v>
      </c>
      <c r="S27" s="248" t="e">
        <f>IS!R77/IS!R81</f>
        <v>#DIV/0!</v>
      </c>
      <c r="T27" s="248" t="e">
        <f>IS!S77/IS!S81</f>
        <v>#DIV/0!</v>
      </c>
    </row>
    <row r="28" spans="1:20" ht="12" customHeight="1">
      <c r="B28" s="249" t="s">
        <v>356</v>
      </c>
      <c r="C28" s="249" t="s">
        <v>357</v>
      </c>
      <c r="D28" s="265" t="s">
        <v>344</v>
      </c>
      <c r="E28" s="442">
        <f>IS!D71/IS!D81</f>
        <v>-11.542786257645281</v>
      </c>
      <c r="F28" s="442">
        <f>IS!E71/IS!E81</f>
        <v>-3.4058714234965843</v>
      </c>
      <c r="G28" s="442">
        <f>IS!F71/IS!F81</f>
        <v>-4.8055620404219024</v>
      </c>
      <c r="H28" s="442">
        <f>IS!G71/IS!G81</f>
        <v>-2.1760812253205692</v>
      </c>
      <c r="I28" s="442">
        <f>IS!H71/IS!H81</f>
        <v>-7.9879839286661056</v>
      </c>
      <c r="J28" s="442">
        <f>IS!I71/IS!I81</f>
        <v>-9.2156388178071342</v>
      </c>
      <c r="K28" s="442">
        <f>IS!J71/IS!J81</f>
        <v>-5.5225303713988199</v>
      </c>
      <c r="L28" s="442">
        <f>IS!K71/IS!K81</f>
        <v>-10.485838507793819</v>
      </c>
      <c r="M28" s="442">
        <f>IS!L71/IS!L81</f>
        <v>-6.2046802376022256</v>
      </c>
      <c r="N28" s="247" t="e">
        <f>IS!M71/IS!M81</f>
        <v>#DIV/0!</v>
      </c>
      <c r="O28" s="247" t="e">
        <f>IS!N71/IS!N81</f>
        <v>#DIV/0!</v>
      </c>
      <c r="P28" s="247" t="e">
        <f>IS!O71/IS!O81</f>
        <v>#DIV/0!</v>
      </c>
      <c r="Q28" s="247" t="e">
        <f>IS!P71/IS!P81</f>
        <v>#DIV/0!</v>
      </c>
      <c r="R28" s="247" t="e">
        <f>IS!Q71/IS!Q81</f>
        <v>#DIV/0!</v>
      </c>
      <c r="S28" s="247" t="e">
        <f>IS!R71/IS!R81</f>
        <v>#DIV/0!</v>
      </c>
      <c r="T28" s="247" t="e">
        <f>IS!S71/IS!S81</f>
        <v>#DIV/0!</v>
      </c>
    </row>
    <row r="29" spans="1:20" ht="12" customHeight="1">
      <c r="B29" s="197"/>
      <c r="C29" s="197"/>
      <c r="D29" s="197"/>
      <c r="E29" s="197"/>
      <c r="F29" s="198"/>
      <c r="G29" s="222"/>
      <c r="H29" s="222"/>
      <c r="I29" s="222"/>
      <c r="J29" s="222"/>
      <c r="K29" s="222"/>
      <c r="L29" s="222"/>
      <c r="M29" s="222"/>
      <c r="N29" s="222"/>
      <c r="O29" s="222"/>
      <c r="P29" s="222"/>
      <c r="Q29" s="222"/>
      <c r="R29" s="222"/>
      <c r="S29" s="222"/>
      <c r="T29" s="222"/>
    </row>
    <row r="30" spans="1:20" ht="12" customHeight="1">
      <c r="B30" s="103"/>
      <c r="C30" s="103"/>
      <c r="D30" s="103"/>
      <c r="E30" s="103"/>
      <c r="F30" s="198"/>
      <c r="G30" s="222"/>
      <c r="H30" s="222"/>
      <c r="I30" s="222"/>
      <c r="J30" s="222"/>
      <c r="K30" s="222"/>
      <c r="L30" s="222"/>
      <c r="M30" s="222"/>
      <c r="N30" s="222"/>
      <c r="O30" s="222"/>
      <c r="P30" s="222"/>
      <c r="Q30" s="222"/>
      <c r="R30" s="222"/>
      <c r="S30" s="222"/>
      <c r="T30" s="222"/>
    </row>
    <row r="31" spans="1:20" ht="12" customHeight="1">
      <c r="B31" s="228"/>
      <c r="C31" s="228"/>
      <c r="D31" s="228"/>
      <c r="E31" s="228"/>
      <c r="F31" s="224"/>
      <c r="G31" s="222"/>
      <c r="H31" s="222"/>
      <c r="I31" s="222"/>
      <c r="J31" s="222"/>
      <c r="K31" s="222"/>
      <c r="L31" s="222"/>
      <c r="M31" s="222"/>
      <c r="N31" s="222"/>
      <c r="O31" s="222"/>
      <c r="P31" s="222"/>
      <c r="Q31" s="222"/>
      <c r="R31" s="222"/>
      <c r="S31" s="222"/>
      <c r="T31" s="222"/>
    </row>
    <row r="32" spans="1:20" ht="12" customHeight="1">
      <c r="B32" s="198"/>
      <c r="C32" s="198"/>
      <c r="D32" s="198"/>
      <c r="E32" s="198"/>
      <c r="F32" s="198"/>
      <c r="G32" s="222"/>
      <c r="H32" s="222"/>
      <c r="I32" s="222"/>
      <c r="J32" s="222"/>
      <c r="K32" s="222"/>
      <c r="L32" s="222"/>
      <c r="M32" s="222"/>
      <c r="N32" s="222"/>
      <c r="O32" s="222"/>
      <c r="P32" s="222"/>
      <c r="Q32" s="222"/>
      <c r="R32" s="222"/>
      <c r="S32" s="222"/>
      <c r="T32" s="222"/>
    </row>
    <row r="33" spans="2:20" ht="12" customHeight="1">
      <c r="B33" s="103"/>
      <c r="C33" s="103"/>
      <c r="D33" s="103"/>
      <c r="E33" s="103"/>
      <c r="F33" s="198"/>
      <c r="G33" s="222"/>
      <c r="H33" s="222"/>
      <c r="I33" s="222"/>
      <c r="J33" s="222"/>
      <c r="K33" s="222"/>
      <c r="L33" s="222"/>
      <c r="M33" s="222"/>
      <c r="N33" s="222"/>
      <c r="O33" s="222"/>
      <c r="P33" s="222"/>
      <c r="Q33" s="222"/>
      <c r="R33" s="222"/>
      <c r="S33" s="222"/>
      <c r="T33" s="222"/>
    </row>
    <row r="34" spans="2:20" ht="12" customHeight="1">
      <c r="B34" s="107"/>
      <c r="C34" s="107"/>
      <c r="D34" s="107"/>
      <c r="E34" s="107"/>
      <c r="F34" s="224"/>
      <c r="G34" s="222"/>
      <c r="H34" s="222"/>
      <c r="I34" s="222"/>
      <c r="J34" s="222"/>
      <c r="K34" s="222"/>
      <c r="L34" s="222"/>
      <c r="M34" s="222"/>
      <c r="N34" s="222"/>
      <c r="O34" s="222"/>
      <c r="P34" s="222"/>
      <c r="Q34" s="222"/>
      <c r="R34" s="222"/>
      <c r="S34" s="222"/>
      <c r="T34" s="222"/>
    </row>
    <row r="35" spans="2:20" ht="12" customHeight="1">
      <c r="B35" s="132"/>
      <c r="C35" s="132"/>
      <c r="D35" s="132"/>
      <c r="E35" s="132"/>
      <c r="F35" s="198"/>
      <c r="G35" s="222"/>
      <c r="H35" s="222"/>
      <c r="I35" s="222"/>
      <c r="J35" s="222"/>
      <c r="K35" s="222"/>
      <c r="L35" s="222"/>
      <c r="M35" s="222"/>
      <c r="N35" s="222"/>
      <c r="O35" s="222"/>
      <c r="P35" s="222"/>
      <c r="Q35" s="222"/>
      <c r="R35" s="222"/>
      <c r="S35" s="222"/>
      <c r="T35" s="222"/>
    </row>
    <row r="36" spans="2:20" ht="12" customHeight="1">
      <c r="B36" s="222"/>
      <c r="C36" s="222"/>
      <c r="D36" s="222"/>
      <c r="E36" s="222"/>
      <c r="F36" s="222"/>
      <c r="G36" s="222"/>
      <c r="H36" s="222"/>
      <c r="I36" s="222"/>
      <c r="J36" s="222"/>
      <c r="K36" s="222"/>
      <c r="L36" s="222"/>
      <c r="M36" s="222"/>
      <c r="N36" s="222"/>
      <c r="O36" s="222"/>
      <c r="P36" s="222"/>
      <c r="Q36" s="222"/>
      <c r="R36" s="222"/>
      <c r="S36" s="222"/>
      <c r="T36" s="222"/>
    </row>
    <row r="37" spans="2:20" ht="12" customHeight="1">
      <c r="B37" s="222"/>
      <c r="C37" s="222"/>
      <c r="D37" s="222"/>
      <c r="E37" s="222"/>
      <c r="F37" s="222"/>
      <c r="G37" s="222"/>
      <c r="H37" s="222"/>
      <c r="I37" s="222"/>
      <c r="J37" s="222"/>
      <c r="K37" s="222"/>
      <c r="L37" s="222"/>
      <c r="M37" s="222"/>
      <c r="N37" s="222"/>
      <c r="O37" s="222"/>
      <c r="P37" s="222"/>
      <c r="Q37" s="222"/>
      <c r="R37" s="222"/>
      <c r="S37" s="222"/>
      <c r="T37" s="222"/>
    </row>
    <row r="38" spans="2:20" ht="12" customHeight="1">
      <c r="B38" s="222"/>
      <c r="C38" s="222"/>
      <c r="D38" s="222"/>
      <c r="E38" s="222"/>
      <c r="F38" s="222"/>
      <c r="G38" s="222"/>
      <c r="H38" s="222"/>
      <c r="I38" s="222"/>
      <c r="J38" s="222"/>
      <c r="K38" s="222"/>
      <c r="L38" s="222"/>
      <c r="M38" s="222"/>
      <c r="N38" s="222"/>
      <c r="O38" s="222"/>
      <c r="P38" s="222"/>
      <c r="Q38" s="222"/>
      <c r="R38" s="222"/>
      <c r="S38" s="222"/>
      <c r="T38" s="222"/>
    </row>
    <row r="39" spans="2:20" ht="12" customHeight="1">
      <c r="B39" s="222"/>
      <c r="C39" s="222"/>
      <c r="D39" s="222"/>
      <c r="E39" s="222"/>
      <c r="F39" s="222"/>
      <c r="G39" s="222"/>
      <c r="H39" s="222"/>
      <c r="I39" s="222"/>
      <c r="J39" s="222"/>
      <c r="K39" s="222"/>
      <c r="L39" s="222"/>
      <c r="M39" s="222"/>
      <c r="N39" s="222"/>
      <c r="O39" s="222"/>
      <c r="P39" s="222"/>
      <c r="Q39" s="222"/>
      <c r="R39" s="222"/>
      <c r="S39" s="222"/>
      <c r="T39" s="222"/>
    </row>
    <row r="40" spans="2:20" ht="12" customHeight="1">
      <c r="B40" s="222"/>
      <c r="C40" s="222"/>
      <c r="D40" s="222"/>
      <c r="E40" s="222"/>
      <c r="F40" s="222"/>
      <c r="G40" s="222"/>
      <c r="H40" s="222"/>
      <c r="I40" s="222"/>
      <c r="J40" s="222"/>
      <c r="K40" s="222"/>
      <c r="L40" s="222"/>
      <c r="M40" s="222"/>
      <c r="N40" s="222"/>
      <c r="O40" s="222"/>
      <c r="P40" s="222"/>
      <c r="Q40" s="222"/>
      <c r="R40" s="222"/>
      <c r="S40" s="222"/>
      <c r="T40" s="222"/>
    </row>
    <row r="41" spans="2:20" ht="12" customHeight="1">
      <c r="B41" s="222"/>
      <c r="C41" s="222"/>
      <c r="D41" s="222"/>
      <c r="E41" s="222"/>
      <c r="F41" s="222"/>
      <c r="G41" s="222"/>
      <c r="H41" s="222"/>
      <c r="I41" s="222"/>
      <c r="J41" s="222"/>
      <c r="K41" s="222"/>
      <c r="L41" s="222"/>
      <c r="M41" s="222"/>
      <c r="N41" s="222"/>
      <c r="O41" s="222"/>
      <c r="P41" s="222"/>
      <c r="Q41" s="222"/>
      <c r="R41" s="222"/>
      <c r="S41" s="222"/>
      <c r="T41" s="222"/>
    </row>
    <row r="42" spans="2:20" ht="12" customHeight="1">
      <c r="B42" s="222"/>
      <c r="C42" s="222"/>
      <c r="D42" s="222"/>
      <c r="E42" s="222"/>
      <c r="F42" s="222"/>
      <c r="G42" s="222"/>
      <c r="H42" s="222"/>
      <c r="I42" s="222"/>
      <c r="J42" s="222"/>
      <c r="K42" s="222"/>
      <c r="L42" s="222"/>
      <c r="M42" s="222"/>
      <c r="N42" s="222"/>
      <c r="O42" s="222"/>
      <c r="P42" s="222"/>
      <c r="Q42" s="222"/>
      <c r="R42" s="222"/>
      <c r="S42" s="222"/>
      <c r="T42" s="222"/>
    </row>
    <row r="43" spans="2:20" ht="12" customHeight="1">
      <c r="B43" s="222"/>
      <c r="C43" s="222"/>
      <c r="D43" s="222"/>
      <c r="E43" s="222"/>
      <c r="F43" s="222"/>
      <c r="G43" s="222"/>
      <c r="H43" s="222"/>
      <c r="I43" s="222"/>
      <c r="J43" s="222"/>
      <c r="K43" s="222"/>
      <c r="L43" s="222"/>
      <c r="M43" s="222"/>
      <c r="N43" s="222"/>
      <c r="O43" s="222"/>
      <c r="P43" s="222"/>
      <c r="Q43" s="222"/>
      <c r="R43" s="222"/>
      <c r="S43" s="222"/>
      <c r="T43" s="222"/>
    </row>
    <row r="44" spans="2:20" ht="12" customHeight="1">
      <c r="B44" s="222"/>
      <c r="C44" s="222"/>
      <c r="D44" s="222"/>
      <c r="E44" s="222"/>
      <c r="F44" s="222"/>
      <c r="G44" s="222"/>
      <c r="H44" s="222"/>
      <c r="I44" s="222"/>
      <c r="J44" s="222"/>
      <c r="K44" s="222"/>
      <c r="L44" s="222"/>
      <c r="M44" s="222"/>
      <c r="N44" s="222"/>
      <c r="O44" s="222"/>
      <c r="P44" s="222"/>
      <c r="Q44" s="222"/>
      <c r="R44" s="222"/>
      <c r="S44" s="222"/>
      <c r="T44" s="222"/>
    </row>
    <row r="45" spans="2:20" ht="12" customHeight="1">
      <c r="B45" s="222"/>
      <c r="C45" s="222"/>
      <c r="D45" s="222"/>
      <c r="E45" s="222"/>
      <c r="F45" s="222"/>
      <c r="G45" s="222"/>
      <c r="H45" s="222"/>
      <c r="I45" s="222"/>
      <c r="J45" s="222"/>
      <c r="K45" s="222"/>
      <c r="L45" s="222"/>
      <c r="M45" s="222"/>
      <c r="N45" s="222"/>
      <c r="O45" s="222"/>
      <c r="P45" s="222"/>
      <c r="Q45" s="222"/>
      <c r="R45" s="222"/>
      <c r="S45" s="222"/>
      <c r="T45" s="222"/>
    </row>
    <row r="46" spans="2:20" ht="12" customHeight="1">
      <c r="B46" s="222"/>
      <c r="C46" s="222"/>
      <c r="D46" s="222"/>
      <c r="E46" s="222"/>
      <c r="F46" s="222"/>
      <c r="G46" s="222"/>
      <c r="H46" s="222"/>
      <c r="I46" s="222"/>
      <c r="J46" s="222"/>
      <c r="K46" s="222"/>
      <c r="L46" s="222"/>
      <c r="M46" s="222"/>
      <c r="N46" s="222"/>
      <c r="O46" s="222"/>
      <c r="P46" s="222"/>
      <c r="Q46" s="222"/>
      <c r="R46" s="222"/>
      <c r="S46" s="222"/>
      <c r="T46" s="222"/>
    </row>
    <row r="47" spans="2:20" ht="12" customHeight="1">
      <c r="B47" s="222"/>
      <c r="C47" s="222"/>
      <c r="D47" s="222"/>
      <c r="E47" s="222"/>
      <c r="F47" s="222"/>
      <c r="G47" s="222"/>
      <c r="H47" s="222"/>
      <c r="I47" s="222"/>
      <c r="J47" s="222"/>
      <c r="K47" s="222"/>
      <c r="L47" s="222"/>
      <c r="M47" s="222"/>
      <c r="N47" s="222"/>
      <c r="O47" s="222"/>
      <c r="P47" s="222"/>
      <c r="Q47" s="222"/>
      <c r="R47" s="222"/>
      <c r="S47" s="222"/>
      <c r="T47" s="222"/>
    </row>
    <row r="48" spans="2:20" ht="12" customHeight="1">
      <c r="B48" s="222"/>
      <c r="C48" s="222"/>
      <c r="D48" s="222"/>
      <c r="E48" s="222"/>
      <c r="F48" s="222"/>
      <c r="G48" s="222"/>
      <c r="H48" s="222"/>
      <c r="I48" s="222"/>
      <c r="J48" s="222"/>
      <c r="K48" s="222"/>
      <c r="L48" s="222"/>
      <c r="M48" s="222"/>
      <c r="N48" s="222"/>
      <c r="O48" s="222"/>
      <c r="P48" s="222"/>
      <c r="Q48" s="222"/>
      <c r="R48" s="222"/>
      <c r="S48" s="222"/>
      <c r="T48" s="222"/>
    </row>
    <row r="49" spans="2:20" ht="12" customHeight="1">
      <c r="B49" s="222"/>
      <c r="C49" s="222"/>
      <c r="D49" s="222"/>
      <c r="E49" s="222"/>
      <c r="F49" s="222"/>
      <c r="G49" s="222"/>
      <c r="H49" s="222"/>
      <c r="I49" s="222"/>
      <c r="J49" s="222"/>
      <c r="K49" s="222"/>
      <c r="L49" s="222"/>
      <c r="M49" s="222"/>
      <c r="N49" s="222"/>
      <c r="O49" s="222"/>
      <c r="P49" s="222"/>
      <c r="Q49" s="222"/>
      <c r="R49" s="222"/>
      <c r="S49" s="222"/>
      <c r="T49" s="222"/>
    </row>
    <row r="50" spans="2:20" ht="12" customHeight="1">
      <c r="B50" s="186"/>
      <c r="C50" s="186"/>
      <c r="D50" s="186"/>
      <c r="E50" s="186"/>
      <c r="F50" s="186"/>
      <c r="G50" s="186"/>
      <c r="H50" s="186"/>
      <c r="I50" s="186"/>
      <c r="J50" s="186"/>
      <c r="K50" s="186"/>
      <c r="L50" s="186"/>
      <c r="M50" s="186"/>
      <c r="N50" s="186"/>
      <c r="O50" s="186"/>
      <c r="P50" s="186"/>
      <c r="Q50" s="186"/>
      <c r="R50" s="186"/>
      <c r="S50" s="186"/>
      <c r="T50" s="186"/>
    </row>
    <row r="51" spans="2:20" ht="12" customHeight="1">
      <c r="B51" s="186"/>
      <c r="C51" s="186"/>
      <c r="D51" s="186"/>
      <c r="E51" s="186"/>
      <c r="F51" s="186"/>
      <c r="G51" s="186"/>
      <c r="H51" s="186"/>
      <c r="I51" s="186"/>
      <c r="J51" s="186"/>
      <c r="K51" s="186"/>
      <c r="L51" s="186"/>
      <c r="M51" s="186"/>
      <c r="N51" s="186"/>
      <c r="O51" s="186"/>
      <c r="P51" s="186"/>
      <c r="Q51" s="186"/>
      <c r="R51" s="186"/>
      <c r="S51" s="186"/>
      <c r="T51" s="186"/>
    </row>
    <row r="52" spans="2:20" ht="12" customHeight="1">
      <c r="B52" s="186"/>
      <c r="C52" s="186"/>
      <c r="D52" s="186"/>
      <c r="E52" s="186"/>
      <c r="F52" s="186"/>
      <c r="G52" s="186"/>
      <c r="H52" s="186"/>
      <c r="I52" s="186"/>
      <c r="J52" s="186"/>
      <c r="K52" s="186"/>
      <c r="L52" s="186"/>
      <c r="M52" s="186"/>
      <c r="N52" s="186"/>
      <c r="O52" s="186"/>
      <c r="P52" s="186"/>
      <c r="Q52" s="186"/>
      <c r="R52" s="186"/>
      <c r="S52" s="186"/>
      <c r="T52" s="186"/>
    </row>
    <row r="53" spans="2:20" ht="12" customHeight="1">
      <c r="B53" s="186"/>
      <c r="C53" s="186"/>
      <c r="D53" s="186"/>
      <c r="E53" s="186"/>
      <c r="F53" s="186"/>
      <c r="G53" s="186"/>
      <c r="H53" s="186"/>
      <c r="I53" s="186"/>
      <c r="J53" s="186"/>
      <c r="K53" s="186"/>
      <c r="L53" s="186"/>
      <c r="M53" s="186"/>
      <c r="N53" s="186"/>
      <c r="O53" s="186"/>
      <c r="P53" s="186"/>
      <c r="Q53" s="186"/>
      <c r="R53" s="186"/>
      <c r="S53" s="186"/>
      <c r="T53" s="186"/>
    </row>
    <row r="54" spans="2:20">
      <c r="B54" s="186"/>
      <c r="C54" s="186"/>
      <c r="D54" s="186"/>
      <c r="E54" s="186"/>
      <c r="F54" s="186"/>
      <c r="G54" s="186"/>
      <c r="H54" s="186"/>
      <c r="I54" s="186"/>
      <c r="J54" s="186"/>
      <c r="K54" s="186"/>
      <c r="L54" s="186"/>
      <c r="M54" s="186"/>
      <c r="N54" s="186"/>
      <c r="O54" s="186"/>
      <c r="P54" s="186"/>
      <c r="Q54" s="186"/>
      <c r="R54" s="186"/>
      <c r="S54" s="186"/>
      <c r="T54" s="186"/>
    </row>
    <row r="55" spans="2:20">
      <c r="B55" s="186"/>
      <c r="C55" s="186"/>
      <c r="D55" s="186"/>
      <c r="E55" s="186"/>
      <c r="F55" s="186"/>
      <c r="G55" s="186"/>
      <c r="H55" s="186"/>
      <c r="I55" s="186"/>
      <c r="J55" s="186"/>
      <c r="K55" s="186"/>
      <c r="L55" s="186"/>
      <c r="M55" s="186"/>
      <c r="N55" s="186"/>
      <c r="O55" s="186"/>
      <c r="P55" s="186"/>
      <c r="Q55" s="186"/>
      <c r="R55" s="186"/>
      <c r="S55" s="186"/>
      <c r="T55" s="186"/>
    </row>
    <row r="56" spans="2:20">
      <c r="B56" s="186"/>
      <c r="C56" s="186"/>
      <c r="D56" s="186"/>
      <c r="E56" s="186"/>
      <c r="F56" s="186"/>
      <c r="G56" s="186"/>
      <c r="H56" s="186"/>
      <c r="I56" s="186"/>
      <c r="J56" s="186"/>
      <c r="K56" s="186"/>
      <c r="L56" s="186"/>
      <c r="M56" s="186"/>
      <c r="N56" s="186"/>
      <c r="O56" s="186"/>
      <c r="P56" s="186"/>
      <c r="Q56" s="186"/>
      <c r="R56" s="186"/>
      <c r="S56" s="186"/>
      <c r="T56" s="186"/>
    </row>
    <row r="57" spans="2:20">
      <c r="B57" s="186"/>
      <c r="C57" s="186"/>
      <c r="D57" s="186"/>
      <c r="E57" s="186"/>
      <c r="F57" s="186"/>
      <c r="G57" s="186"/>
      <c r="H57" s="186"/>
      <c r="I57" s="186"/>
      <c r="J57" s="186"/>
      <c r="K57" s="186"/>
      <c r="L57" s="186"/>
      <c r="M57" s="186"/>
      <c r="N57" s="186"/>
      <c r="O57" s="186"/>
      <c r="P57" s="186"/>
      <c r="Q57" s="186"/>
      <c r="R57" s="186"/>
      <c r="S57" s="186"/>
      <c r="T57" s="186"/>
    </row>
    <row r="58" spans="2:20">
      <c r="B58" s="186"/>
      <c r="C58" s="186"/>
      <c r="D58" s="186"/>
      <c r="E58" s="186"/>
      <c r="F58" s="186"/>
      <c r="G58" s="186"/>
      <c r="H58" s="186"/>
      <c r="I58" s="186"/>
      <c r="J58" s="186"/>
      <c r="K58" s="186"/>
      <c r="L58" s="186"/>
      <c r="M58" s="186"/>
      <c r="N58" s="186"/>
      <c r="O58" s="186"/>
      <c r="P58" s="186"/>
      <c r="Q58" s="186"/>
      <c r="R58" s="186"/>
      <c r="S58" s="186"/>
      <c r="T58" s="186"/>
    </row>
    <row r="59" spans="2:20">
      <c r="B59" s="186"/>
      <c r="C59" s="186"/>
      <c r="D59" s="186"/>
      <c r="E59" s="186"/>
      <c r="F59" s="186"/>
      <c r="G59" s="186"/>
      <c r="H59" s="186"/>
      <c r="I59" s="186"/>
      <c r="J59" s="186"/>
      <c r="K59" s="186"/>
      <c r="L59" s="186"/>
      <c r="M59" s="186"/>
      <c r="N59" s="186"/>
      <c r="O59" s="186"/>
      <c r="P59" s="186"/>
      <c r="Q59" s="186"/>
      <c r="R59" s="186"/>
      <c r="S59" s="186"/>
      <c r="T59" s="186"/>
    </row>
    <row r="60" spans="2:20">
      <c r="B60" s="186"/>
      <c r="C60" s="186"/>
      <c r="D60" s="186"/>
      <c r="E60" s="186"/>
      <c r="F60" s="186"/>
      <c r="G60" s="186"/>
      <c r="H60" s="186"/>
      <c r="I60" s="186"/>
      <c r="J60" s="186"/>
      <c r="K60" s="186"/>
      <c r="L60" s="186"/>
      <c r="M60" s="186"/>
      <c r="N60" s="186"/>
      <c r="O60" s="186"/>
      <c r="P60" s="186"/>
      <c r="Q60" s="186"/>
      <c r="R60" s="186"/>
      <c r="S60" s="186"/>
      <c r="T60" s="186"/>
    </row>
    <row r="61" spans="2:20">
      <c r="B61" s="186"/>
      <c r="C61" s="186"/>
      <c r="D61" s="186"/>
      <c r="E61" s="186"/>
      <c r="F61" s="186"/>
      <c r="G61" s="186"/>
      <c r="H61" s="186"/>
      <c r="I61" s="186"/>
      <c r="J61" s="186"/>
      <c r="K61" s="186"/>
      <c r="L61" s="186"/>
      <c r="M61" s="186"/>
      <c r="N61" s="186"/>
      <c r="O61" s="186"/>
      <c r="P61" s="186"/>
      <c r="Q61" s="186"/>
      <c r="R61" s="186"/>
      <c r="S61" s="186"/>
      <c r="T61" s="186"/>
    </row>
    <row r="62" spans="2:20">
      <c r="B62" s="186"/>
      <c r="C62" s="186"/>
      <c r="D62" s="186"/>
      <c r="E62" s="186"/>
      <c r="F62" s="186"/>
      <c r="G62" s="186"/>
      <c r="H62" s="186"/>
      <c r="I62" s="186"/>
      <c r="J62" s="186"/>
      <c r="K62" s="186"/>
      <c r="L62" s="186"/>
      <c r="M62" s="186"/>
      <c r="N62" s="186"/>
      <c r="O62" s="186"/>
      <c r="P62" s="186"/>
      <c r="Q62" s="186"/>
      <c r="R62" s="186"/>
      <c r="S62" s="186"/>
      <c r="T62" s="186"/>
    </row>
    <row r="63" spans="2:20">
      <c r="B63" s="186"/>
      <c r="C63" s="186"/>
      <c r="D63" s="186"/>
      <c r="E63" s="186"/>
      <c r="F63" s="186"/>
      <c r="G63" s="186"/>
      <c r="H63" s="186"/>
      <c r="I63" s="186"/>
      <c r="J63" s="186"/>
      <c r="K63" s="186"/>
      <c r="L63" s="186"/>
      <c r="M63" s="186"/>
      <c r="N63" s="186"/>
      <c r="O63" s="186"/>
      <c r="P63" s="186"/>
      <c r="Q63" s="186"/>
      <c r="R63" s="186"/>
      <c r="S63" s="186"/>
      <c r="T63" s="186"/>
    </row>
    <row r="64" spans="2:20">
      <c r="B64" s="186"/>
      <c r="C64" s="186"/>
      <c r="D64" s="186"/>
      <c r="E64" s="186"/>
      <c r="F64" s="186"/>
      <c r="G64" s="186"/>
      <c r="H64" s="186"/>
      <c r="I64" s="186"/>
      <c r="J64" s="186"/>
      <c r="K64" s="186"/>
      <c r="L64" s="186"/>
      <c r="M64" s="186"/>
      <c r="N64" s="186"/>
      <c r="O64" s="186"/>
      <c r="P64" s="186"/>
      <c r="Q64" s="186"/>
      <c r="R64" s="186"/>
      <c r="S64" s="186"/>
      <c r="T64" s="186"/>
    </row>
    <row r="65" spans="2:20">
      <c r="B65" s="186"/>
      <c r="C65" s="186"/>
      <c r="D65" s="186"/>
      <c r="E65" s="186"/>
      <c r="F65" s="186"/>
      <c r="G65" s="186"/>
      <c r="H65" s="186"/>
      <c r="I65" s="186"/>
      <c r="J65" s="186"/>
      <c r="K65" s="186"/>
      <c r="L65" s="186"/>
      <c r="M65" s="186"/>
      <c r="N65" s="186"/>
      <c r="O65" s="186"/>
      <c r="P65" s="186"/>
      <c r="Q65" s="186"/>
      <c r="R65" s="186"/>
      <c r="S65" s="186"/>
      <c r="T65" s="186"/>
    </row>
    <row r="66" spans="2:20">
      <c r="B66" s="186"/>
      <c r="C66" s="186"/>
      <c r="D66" s="186"/>
      <c r="E66" s="186"/>
      <c r="F66" s="186"/>
      <c r="G66" s="186"/>
      <c r="H66" s="186"/>
      <c r="I66" s="186"/>
      <c r="J66" s="186"/>
      <c r="K66" s="186"/>
      <c r="L66" s="186"/>
      <c r="M66" s="186"/>
      <c r="N66" s="186"/>
      <c r="O66" s="186"/>
      <c r="P66" s="186"/>
      <c r="Q66" s="186"/>
      <c r="R66" s="186"/>
      <c r="S66" s="186"/>
      <c r="T66" s="186"/>
    </row>
    <row r="67" spans="2:20">
      <c r="B67" s="186"/>
      <c r="C67" s="186"/>
      <c r="D67" s="186"/>
      <c r="E67" s="186"/>
      <c r="F67" s="186"/>
      <c r="G67" s="186"/>
      <c r="H67" s="186"/>
      <c r="I67" s="186"/>
      <c r="J67" s="186"/>
      <c r="K67" s="186"/>
      <c r="L67" s="186"/>
      <c r="M67" s="186"/>
      <c r="N67" s="186"/>
      <c r="O67" s="186"/>
      <c r="P67" s="186"/>
      <c r="Q67" s="186"/>
      <c r="R67" s="186"/>
      <c r="S67" s="186"/>
      <c r="T67" s="186"/>
    </row>
    <row r="68" spans="2:20">
      <c r="B68" s="186"/>
      <c r="C68" s="186"/>
      <c r="D68" s="186"/>
      <c r="E68" s="186"/>
      <c r="F68" s="186"/>
      <c r="G68" s="186"/>
      <c r="H68" s="186"/>
      <c r="I68" s="186"/>
      <c r="J68" s="186"/>
      <c r="K68" s="186"/>
      <c r="L68" s="186"/>
      <c r="M68" s="186"/>
      <c r="N68" s="186"/>
      <c r="O68" s="186"/>
      <c r="P68" s="186"/>
      <c r="Q68" s="186"/>
      <c r="R68" s="186"/>
      <c r="S68" s="186"/>
      <c r="T68" s="186"/>
    </row>
    <row r="69" spans="2:20">
      <c r="B69" s="186"/>
      <c r="C69" s="186"/>
      <c r="D69" s="186"/>
      <c r="E69" s="186"/>
      <c r="F69" s="186"/>
      <c r="G69" s="186"/>
      <c r="H69" s="186"/>
      <c r="I69" s="186"/>
      <c r="J69" s="186"/>
      <c r="K69" s="186"/>
      <c r="L69" s="186"/>
      <c r="M69" s="186"/>
      <c r="N69" s="186"/>
      <c r="O69" s="186"/>
      <c r="P69" s="186"/>
      <c r="Q69" s="186"/>
      <c r="R69" s="186"/>
      <c r="S69" s="186"/>
      <c r="T69" s="186"/>
    </row>
    <row r="70" spans="2:20">
      <c r="B70" s="186"/>
      <c r="C70" s="186"/>
      <c r="D70" s="186"/>
      <c r="E70" s="186"/>
      <c r="F70" s="186"/>
      <c r="G70" s="186"/>
      <c r="H70" s="186"/>
      <c r="I70" s="186"/>
      <c r="J70" s="186"/>
      <c r="K70" s="186"/>
      <c r="L70" s="186"/>
      <c r="M70" s="186"/>
      <c r="N70" s="186"/>
      <c r="O70" s="186"/>
      <c r="P70" s="186"/>
      <c r="Q70" s="186"/>
      <c r="R70" s="186"/>
      <c r="S70" s="186"/>
      <c r="T70" s="186"/>
    </row>
    <row r="71" spans="2:20">
      <c r="B71" s="186"/>
      <c r="C71" s="186"/>
      <c r="D71" s="186"/>
      <c r="E71" s="186"/>
      <c r="F71" s="186"/>
      <c r="G71" s="186"/>
      <c r="H71" s="186"/>
      <c r="I71" s="186"/>
      <c r="J71" s="186"/>
      <c r="K71" s="186"/>
      <c r="L71" s="186"/>
      <c r="M71" s="186"/>
      <c r="N71" s="186"/>
      <c r="O71" s="186"/>
      <c r="P71" s="186"/>
      <c r="Q71" s="186"/>
      <c r="R71" s="186"/>
      <c r="S71" s="186"/>
      <c r="T71" s="186"/>
    </row>
    <row r="72" spans="2:20">
      <c r="B72" s="186"/>
      <c r="C72" s="186"/>
      <c r="D72" s="186"/>
      <c r="E72" s="186"/>
      <c r="F72" s="186"/>
      <c r="G72" s="186"/>
      <c r="H72" s="186"/>
      <c r="I72" s="186"/>
      <c r="J72" s="186"/>
      <c r="K72" s="186"/>
      <c r="L72" s="186"/>
      <c r="M72" s="186"/>
      <c r="N72" s="186"/>
      <c r="O72" s="186"/>
      <c r="P72" s="186"/>
      <c r="Q72" s="186"/>
      <c r="R72" s="186"/>
      <c r="S72" s="186"/>
      <c r="T72" s="186"/>
    </row>
    <row r="73" spans="2:20">
      <c r="B73" s="186"/>
      <c r="C73" s="186"/>
      <c r="D73" s="186"/>
      <c r="E73" s="186"/>
      <c r="F73" s="186"/>
      <c r="G73" s="186"/>
      <c r="H73" s="186"/>
      <c r="I73" s="186"/>
      <c r="J73" s="186"/>
      <c r="K73" s="186"/>
      <c r="L73" s="186"/>
      <c r="M73" s="186"/>
      <c r="N73" s="186"/>
      <c r="O73" s="186"/>
      <c r="P73" s="186"/>
      <c r="Q73" s="186"/>
      <c r="R73" s="186"/>
      <c r="S73" s="186"/>
      <c r="T73" s="186"/>
    </row>
    <row r="74" spans="2:20">
      <c r="B74" s="186"/>
      <c r="C74" s="186"/>
      <c r="D74" s="186"/>
      <c r="E74" s="186"/>
      <c r="F74" s="186"/>
      <c r="G74" s="186"/>
      <c r="H74" s="186"/>
      <c r="I74" s="186"/>
      <c r="J74" s="186"/>
      <c r="K74" s="186"/>
      <c r="L74" s="186"/>
      <c r="M74" s="186"/>
      <c r="N74" s="186"/>
      <c r="O74" s="186"/>
      <c r="P74" s="186"/>
      <c r="Q74" s="186"/>
      <c r="R74" s="186"/>
      <c r="S74" s="186"/>
      <c r="T74" s="186"/>
    </row>
    <row r="75" spans="2:20">
      <c r="B75" s="186"/>
      <c r="C75" s="186"/>
      <c r="D75" s="186"/>
      <c r="E75" s="186"/>
      <c r="F75" s="186"/>
      <c r="G75" s="186"/>
      <c r="H75" s="186"/>
      <c r="I75" s="186"/>
      <c r="J75" s="186"/>
      <c r="K75" s="186"/>
      <c r="L75" s="186"/>
      <c r="M75" s="186"/>
      <c r="N75" s="186"/>
      <c r="O75" s="186"/>
      <c r="P75" s="186"/>
      <c r="Q75" s="186"/>
      <c r="R75" s="186"/>
      <c r="S75" s="186"/>
      <c r="T75" s="186"/>
    </row>
    <row r="76" spans="2:20">
      <c r="B76" s="186"/>
      <c r="C76" s="186"/>
      <c r="D76" s="186"/>
      <c r="E76" s="186"/>
      <c r="F76" s="186"/>
      <c r="G76" s="186"/>
      <c r="H76" s="186"/>
      <c r="I76" s="186"/>
      <c r="J76" s="186"/>
      <c r="K76" s="186"/>
      <c r="L76" s="186"/>
      <c r="M76" s="186"/>
      <c r="N76" s="186"/>
      <c r="O76" s="186"/>
      <c r="P76" s="186"/>
      <c r="Q76" s="186"/>
      <c r="R76" s="186"/>
      <c r="S76" s="186"/>
      <c r="T76" s="186"/>
    </row>
  </sheetData>
  <phoneticPr fontId="3" type="noConversion"/>
  <printOptions horizontalCentered="1"/>
  <pageMargins left="0.25" right="0.26" top="0.25" bottom="0.26" header="0.23622047244094491" footer="0.19685039370078741"/>
  <pageSetup scale="60" fitToHeight="0" orientation="landscape" r:id="rId1"/>
  <headerFooter alignWithMargins="0">
    <oddFooter>&amp;R&amp;8&amp;F  &amp;A
&amp;D</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Plan6"/>
  <dimension ref="A1:IV249"/>
  <sheetViews>
    <sheetView showGridLines="0" showOutlineSymbols="0" zoomScale="115" zoomScaleNormal="115" workbookViewId="0">
      <pane xSplit="4" ySplit="7" topLeftCell="G233" activePane="bottomRight" state="frozen"/>
      <selection pane="topRight" activeCell="F1" sqref="F1"/>
      <selection pane="bottomLeft" activeCell="A8" sqref="A8"/>
      <selection pane="bottomRight" activeCell="O242" sqref="O242"/>
    </sheetView>
  </sheetViews>
  <sheetFormatPr defaultColWidth="0" defaultRowHeight="15"/>
  <cols>
    <col min="1" max="1" width="3.5703125" style="96" customWidth="1"/>
    <col min="2" max="2" width="24.42578125" style="96" customWidth="1"/>
    <col min="3" max="3" width="13.7109375" style="96" customWidth="1"/>
    <col min="4" max="4" width="13.140625" style="96" customWidth="1"/>
    <col min="5" max="11" width="9.7109375" style="96" customWidth="1"/>
    <col min="12" max="12" width="8.28515625" style="96" bestFit="1" customWidth="1"/>
    <col min="13" max="20" width="10.42578125" style="96" customWidth="1"/>
    <col min="21" max="21" width="3.28515625" style="96" customWidth="1"/>
    <col min="22" max="27" width="7.7109375" style="96" hidden="1" customWidth="1"/>
    <col min="28" max="16384" width="8" style="96" hidden="1"/>
  </cols>
  <sheetData>
    <row r="1" spans="1:21" s="45" customFormat="1" ht="15" customHeight="1">
      <c r="B1" s="152" t="s">
        <v>2</v>
      </c>
      <c r="C1" s="97"/>
      <c r="D1" s="97"/>
      <c r="E1" s="97"/>
      <c r="F1" s="97"/>
      <c r="G1" s="97"/>
      <c r="H1" s="97"/>
      <c r="I1" s="97"/>
      <c r="J1" s="97"/>
      <c r="K1" s="97"/>
      <c r="L1" s="97"/>
      <c r="M1" s="97"/>
      <c r="N1" s="97"/>
      <c r="O1" s="97"/>
      <c r="P1" s="97"/>
      <c r="Q1" s="97"/>
      <c r="R1" s="97"/>
      <c r="S1" s="97"/>
      <c r="T1" s="97"/>
    </row>
    <row r="2" spans="1:21" s="45" customFormat="1" ht="15" customHeight="1" thickBot="1">
      <c r="B2" s="153" t="s">
        <v>230</v>
      </c>
      <c r="C2" s="98"/>
      <c r="D2" s="98"/>
      <c r="E2" s="99"/>
      <c r="F2" s="99"/>
      <c r="G2" s="99"/>
      <c r="H2" s="99"/>
      <c r="I2" s="99"/>
      <c r="J2" s="99"/>
      <c r="K2" s="99"/>
      <c r="L2" s="99"/>
      <c r="M2" s="99"/>
      <c r="N2" s="99"/>
      <c r="O2" s="99"/>
      <c r="P2" s="99"/>
      <c r="Q2" s="99"/>
      <c r="R2" s="99"/>
      <c r="S2" s="99"/>
      <c r="T2" s="99"/>
    </row>
    <row r="3" spans="1:21" s="45" customFormat="1" ht="3.75" customHeight="1"/>
    <row r="4" spans="1:21" s="45" customFormat="1" ht="18" customHeight="1">
      <c r="B4" s="100"/>
      <c r="C4" s="445" t="s">
        <v>87</v>
      </c>
      <c r="D4" s="444"/>
      <c r="E4" s="101"/>
      <c r="F4" s="101"/>
      <c r="G4" s="101"/>
      <c r="H4" s="101"/>
      <c r="I4" s="101"/>
      <c r="J4" s="101"/>
      <c r="K4" s="101"/>
      <c r="L4" s="101"/>
      <c r="M4" s="101"/>
      <c r="N4" s="101"/>
      <c r="O4" s="101"/>
      <c r="P4" s="101"/>
      <c r="Q4" s="101"/>
      <c r="R4" s="101"/>
      <c r="S4" s="101"/>
      <c r="T4" s="101"/>
    </row>
    <row r="5" spans="1:21" s="93" customFormat="1" ht="18" customHeight="1">
      <c r="A5" s="45"/>
      <c r="B5" s="92"/>
      <c r="C5" s="431" t="s">
        <v>88</v>
      </c>
      <c r="D5" s="301"/>
      <c r="E5" s="101"/>
      <c r="F5" s="101"/>
      <c r="G5" s="101"/>
    </row>
    <row r="6" spans="1:21" s="93" customFormat="1" ht="1.5" customHeight="1">
      <c r="A6" s="45"/>
      <c r="B6" s="102"/>
      <c r="C6" s="102"/>
      <c r="D6" s="102"/>
      <c r="E6" s="92"/>
      <c r="F6" s="92"/>
      <c r="G6" s="92"/>
      <c r="L6" s="259"/>
      <c r="M6" s="259"/>
      <c r="N6" s="259"/>
      <c r="O6" s="259"/>
      <c r="P6" s="259"/>
      <c r="Q6" s="259"/>
      <c r="R6" s="259"/>
      <c r="S6" s="259"/>
      <c r="T6" s="259"/>
    </row>
    <row r="7" spans="1:21" s="94" customFormat="1" ht="18.75" customHeight="1">
      <c r="B7" s="6" t="s">
        <v>267</v>
      </c>
      <c r="C7" s="76"/>
      <c r="D7" s="76"/>
      <c r="E7" s="528">
        <v>2013</v>
      </c>
      <c r="F7" s="528">
        <v>2014</v>
      </c>
      <c r="G7" s="528">
        <v>2015</v>
      </c>
      <c r="H7" s="528">
        <v>2016</v>
      </c>
      <c r="I7" s="528">
        <v>2017</v>
      </c>
      <c r="J7" s="528">
        <v>2018</v>
      </c>
      <c r="K7" s="528">
        <v>2019</v>
      </c>
      <c r="L7" s="529">
        <v>2020</v>
      </c>
      <c r="M7" s="530">
        <v>2021</v>
      </c>
      <c r="N7" s="530">
        <v>2022</v>
      </c>
      <c r="O7" s="530">
        <v>2023</v>
      </c>
      <c r="P7" s="530">
        <v>2024</v>
      </c>
      <c r="Q7" s="530">
        <v>2025</v>
      </c>
      <c r="R7" s="530">
        <v>2026</v>
      </c>
      <c r="S7" s="530">
        <v>2027</v>
      </c>
      <c r="T7" s="530">
        <v>2028</v>
      </c>
    </row>
    <row r="8" spans="1:21" s="94" customFormat="1">
      <c r="B8" s="76"/>
      <c r="C8" s="76"/>
      <c r="D8" s="76"/>
      <c r="E8" s="76"/>
      <c r="F8" s="76"/>
      <c r="G8" s="76"/>
      <c r="H8" s="76"/>
      <c r="I8" s="76"/>
      <c r="J8" s="76"/>
      <c r="K8" s="76"/>
      <c r="L8" s="76"/>
      <c r="M8" s="76"/>
      <c r="N8" s="76"/>
      <c r="O8" s="76"/>
      <c r="P8" s="76"/>
      <c r="Q8" s="76"/>
      <c r="R8" s="76"/>
      <c r="S8" s="76"/>
      <c r="T8" s="76"/>
    </row>
    <row r="9" spans="1:21" s="94" customFormat="1">
      <c r="B9" s="302" t="s">
        <v>362</v>
      </c>
      <c r="C9" s="302"/>
      <c r="D9" s="302"/>
      <c r="E9" s="303"/>
      <c r="F9" s="303"/>
      <c r="G9" s="303"/>
      <c r="H9" s="303"/>
      <c r="I9" s="303"/>
      <c r="J9" s="303"/>
      <c r="K9" s="303"/>
      <c r="L9" s="303"/>
      <c r="M9" s="303"/>
      <c r="N9" s="303"/>
      <c r="O9" s="303"/>
      <c r="P9" s="303"/>
      <c r="Q9" s="303"/>
      <c r="R9" s="303"/>
      <c r="S9" s="303"/>
      <c r="T9" s="303"/>
    </row>
    <row r="10" spans="1:21" s="94" customFormat="1">
      <c r="B10" s="3" t="s">
        <v>89</v>
      </c>
      <c r="C10" s="76"/>
      <c r="D10" s="76"/>
      <c r="E10" s="301">
        <v>150778</v>
      </c>
      <c r="F10" s="301">
        <v>184702</v>
      </c>
      <c r="G10" s="301">
        <v>208693</v>
      </c>
      <c r="H10" s="301">
        <v>212586</v>
      </c>
      <c r="I10" s="301">
        <v>230126.86</v>
      </c>
      <c r="J10" s="301">
        <v>230163.62</v>
      </c>
      <c r="K10" s="301">
        <v>243149</v>
      </c>
      <c r="L10" s="301">
        <v>235444</v>
      </c>
      <c r="M10" s="301">
        <v>229448.96999999997</v>
      </c>
      <c r="N10" s="301">
        <v>336464</v>
      </c>
      <c r="O10" s="444"/>
      <c r="P10" s="444"/>
      <c r="Q10" s="444"/>
      <c r="R10" s="444"/>
      <c r="S10" s="444"/>
      <c r="T10" s="444"/>
      <c r="U10" s="11"/>
    </row>
    <row r="11" spans="1:21" s="94" customFormat="1">
      <c r="B11" s="5" t="s">
        <v>90</v>
      </c>
      <c r="C11" s="76"/>
      <c r="D11" s="76"/>
      <c r="E11" s="361">
        <f>E12+E13</f>
        <v>76580</v>
      </c>
      <c r="F11" s="361">
        <f t="shared" ref="F11:O11" si="0">F12+F13</f>
        <v>93666</v>
      </c>
      <c r="G11" s="361">
        <f t="shared" si="0"/>
        <v>98562</v>
      </c>
      <c r="H11" s="361">
        <f t="shared" si="0"/>
        <v>93406</v>
      </c>
      <c r="I11" s="361">
        <f t="shared" si="0"/>
        <v>87440.45</v>
      </c>
      <c r="J11" s="361">
        <f t="shared" si="0"/>
        <v>95123.97</v>
      </c>
      <c r="K11" s="361">
        <f>SUM(K12:K13)</f>
        <v>123727</v>
      </c>
      <c r="L11" s="361">
        <f>SUM(L12:L13)</f>
        <v>125462</v>
      </c>
      <c r="M11" s="361">
        <f t="shared" si="0"/>
        <v>109604.38999999998</v>
      </c>
      <c r="N11" s="301">
        <f t="shared" si="0"/>
        <v>175961</v>
      </c>
      <c r="O11" s="444">
        <f t="shared" si="0"/>
        <v>0</v>
      </c>
      <c r="P11" s="444">
        <f>P12+P13</f>
        <v>0</v>
      </c>
      <c r="Q11" s="444">
        <f>Q12+Q13</f>
        <v>0</v>
      </c>
      <c r="R11" s="444">
        <f>R12+R13</f>
        <v>0</v>
      </c>
      <c r="S11" s="444">
        <f>S12+S13</f>
        <v>0</v>
      </c>
      <c r="T11" s="444">
        <f>T12+T13</f>
        <v>0</v>
      </c>
      <c r="U11" s="40"/>
    </row>
    <row r="12" spans="1:21" s="94" customFormat="1">
      <c r="B12" s="149" t="s">
        <v>91</v>
      </c>
      <c r="C12" s="76"/>
      <c r="D12" s="76"/>
      <c r="E12" s="301">
        <v>61847</v>
      </c>
      <c r="F12" s="301">
        <v>81019</v>
      </c>
      <c r="G12" s="301">
        <v>83680</v>
      </c>
      <c r="H12" s="301">
        <v>74404</v>
      </c>
      <c r="I12" s="301">
        <v>58886.15</v>
      </c>
      <c r="J12" s="301">
        <v>57832.02</v>
      </c>
      <c r="K12" s="301">
        <v>72852</v>
      </c>
      <c r="L12" s="301">
        <v>74054</v>
      </c>
      <c r="M12" s="301">
        <v>78010.849999999991</v>
      </c>
      <c r="N12" s="301">
        <v>86021</v>
      </c>
      <c r="O12" s="444"/>
      <c r="P12" s="444"/>
      <c r="Q12" s="444"/>
      <c r="R12" s="444"/>
      <c r="S12" s="444"/>
      <c r="T12" s="444"/>
      <c r="U12" s="151"/>
    </row>
    <row r="13" spans="1:21" s="94" customFormat="1">
      <c r="B13" s="149" t="s">
        <v>92</v>
      </c>
      <c r="C13" s="76"/>
      <c r="D13" s="76"/>
      <c r="E13" s="301">
        <v>14733</v>
      </c>
      <c r="F13" s="301">
        <v>12647</v>
      </c>
      <c r="G13" s="301">
        <v>14882</v>
      </c>
      <c r="H13" s="301">
        <v>19002</v>
      </c>
      <c r="I13" s="301">
        <v>28554.3</v>
      </c>
      <c r="J13" s="301">
        <v>37291.949999999997</v>
      </c>
      <c r="K13" s="301">
        <v>50875</v>
      </c>
      <c r="L13" s="301">
        <v>51408</v>
      </c>
      <c r="M13" s="301">
        <v>31593.54</v>
      </c>
      <c r="N13" s="301">
        <v>89940</v>
      </c>
      <c r="O13" s="444"/>
      <c r="P13" s="444"/>
      <c r="Q13" s="444"/>
      <c r="R13" s="444"/>
      <c r="S13" s="444"/>
      <c r="T13" s="444"/>
      <c r="U13" s="151"/>
    </row>
    <row r="14" spans="1:21" s="94" customFormat="1">
      <c r="B14" s="5" t="s">
        <v>93</v>
      </c>
      <c r="C14" s="76"/>
      <c r="D14" s="76"/>
      <c r="E14" s="361">
        <f>SUM(E15:E16)</f>
        <v>49273</v>
      </c>
      <c r="F14" s="361">
        <f>SUM(F15:F16)</f>
        <v>50765</v>
      </c>
      <c r="G14" s="361">
        <f t="shared" ref="G14:O14" si="1">SUM(G15:G16)</f>
        <v>43407.4</v>
      </c>
      <c r="H14" s="361">
        <f t="shared" si="1"/>
        <v>65680.5</v>
      </c>
      <c r="I14" s="361">
        <f t="shared" si="1"/>
        <v>71790</v>
      </c>
      <c r="J14" s="361">
        <f t="shared" si="1"/>
        <v>76931</v>
      </c>
      <c r="K14" s="361">
        <f t="shared" si="1"/>
        <v>89311</v>
      </c>
      <c r="L14" s="361">
        <f t="shared" si="1"/>
        <v>82392</v>
      </c>
      <c r="M14" s="361">
        <f t="shared" si="1"/>
        <v>112863.61</v>
      </c>
      <c r="N14" s="301">
        <f t="shared" si="1"/>
        <v>121572</v>
      </c>
      <c r="O14" s="444">
        <f t="shared" si="1"/>
        <v>0</v>
      </c>
      <c r="P14" s="444">
        <f>SUM(P15:P16)</f>
        <v>0</v>
      </c>
      <c r="Q14" s="444">
        <f>SUM(Q15:Q16)</f>
        <v>0</v>
      </c>
      <c r="R14" s="444">
        <f>SUM(R15:R16)</f>
        <v>0</v>
      </c>
      <c r="S14" s="444">
        <f>SUM(S15:S16)</f>
        <v>0</v>
      </c>
      <c r="T14" s="444">
        <f>SUM(T15:T16)</f>
        <v>0</v>
      </c>
      <c r="U14" s="40"/>
    </row>
    <row r="15" spans="1:21" s="94" customFormat="1">
      <c r="B15" s="149" t="s">
        <v>91</v>
      </c>
      <c r="C15" s="76"/>
      <c r="D15" s="76"/>
      <c r="E15" s="301">
        <v>14521</v>
      </c>
      <c r="F15" s="301">
        <v>13575</v>
      </c>
      <c r="G15" s="301">
        <v>5127</v>
      </c>
      <c r="H15" s="301">
        <v>0</v>
      </c>
      <c r="I15" s="301">
        <v>0</v>
      </c>
      <c r="J15" s="301">
        <v>0</v>
      </c>
      <c r="K15" s="301">
        <v>0</v>
      </c>
      <c r="L15" s="301">
        <v>0</v>
      </c>
      <c r="M15" s="301">
        <v>0</v>
      </c>
      <c r="N15" s="301"/>
      <c r="O15" s="444"/>
      <c r="P15" s="444"/>
      <c r="Q15" s="444"/>
      <c r="R15" s="444"/>
      <c r="S15" s="444"/>
      <c r="T15" s="444"/>
      <c r="U15" s="40"/>
    </row>
    <row r="16" spans="1:21" s="94" customFormat="1">
      <c r="B16" s="149" t="s">
        <v>92</v>
      </c>
      <c r="C16" s="76"/>
      <c r="D16" s="76"/>
      <c r="E16" s="301">
        <v>34752</v>
      </c>
      <c r="F16" s="301">
        <v>37190</v>
      </c>
      <c r="G16" s="301">
        <v>38280.400000000001</v>
      </c>
      <c r="H16" s="301">
        <v>65680.5</v>
      </c>
      <c r="I16" s="301">
        <v>71790</v>
      </c>
      <c r="J16" s="301">
        <v>76931</v>
      </c>
      <c r="K16" s="301">
        <v>89311</v>
      </c>
      <c r="L16" s="301">
        <v>82392</v>
      </c>
      <c r="M16" s="301">
        <v>112863.61</v>
      </c>
      <c r="N16" s="301">
        <v>121572</v>
      </c>
      <c r="O16" s="444"/>
      <c r="P16" s="444"/>
      <c r="Q16" s="444"/>
      <c r="R16" s="444"/>
      <c r="S16" s="444"/>
      <c r="T16" s="444"/>
      <c r="U16" s="151"/>
    </row>
    <row r="17" spans="2:21" s="94" customFormat="1">
      <c r="B17" s="5" t="s">
        <v>94</v>
      </c>
      <c r="C17" s="76"/>
      <c r="D17" s="76"/>
      <c r="E17" s="361">
        <v>5842</v>
      </c>
      <c r="F17" s="361">
        <v>14435</v>
      </c>
      <c r="G17" s="361">
        <v>19363.400000000001</v>
      </c>
      <c r="H17" s="361">
        <v>5586.5</v>
      </c>
      <c r="I17" s="361">
        <v>3564</v>
      </c>
      <c r="J17" s="361">
        <v>2227.5</v>
      </c>
      <c r="K17" s="361">
        <v>1912</v>
      </c>
      <c r="L17" s="361">
        <v>5270</v>
      </c>
      <c r="M17" s="361">
        <v>11250.47</v>
      </c>
      <c r="N17" s="361">
        <v>34792</v>
      </c>
      <c r="O17" s="491"/>
      <c r="P17" s="491"/>
      <c r="Q17" s="491"/>
      <c r="R17" s="491"/>
      <c r="S17" s="491"/>
      <c r="T17" s="491"/>
      <c r="U17" s="11"/>
    </row>
    <row r="18" spans="2:21" s="94" customFormat="1">
      <c r="B18" s="304" t="s">
        <v>95</v>
      </c>
      <c r="C18" s="305"/>
      <c r="D18" s="305"/>
      <c r="E18" s="306">
        <f>E10+E11+E14+E17</f>
        <v>282473</v>
      </c>
      <c r="F18" s="306">
        <f t="shared" ref="F18:T18" si="2">F10+F11+F14+F17</f>
        <v>343568</v>
      </c>
      <c r="G18" s="306">
        <f t="shared" si="2"/>
        <v>370025.80000000005</v>
      </c>
      <c r="H18" s="306">
        <f t="shared" si="2"/>
        <v>377259</v>
      </c>
      <c r="I18" s="306">
        <f t="shared" si="2"/>
        <v>392921.31</v>
      </c>
      <c r="J18" s="306">
        <f>J10+J11+J14+J17</f>
        <v>404446.08999999997</v>
      </c>
      <c r="K18" s="306">
        <f t="shared" si="2"/>
        <v>458099</v>
      </c>
      <c r="L18" s="306">
        <f t="shared" si="2"/>
        <v>448568</v>
      </c>
      <c r="M18" s="306">
        <f t="shared" si="2"/>
        <v>463167.43999999994</v>
      </c>
      <c r="N18" s="306">
        <f t="shared" si="2"/>
        <v>668789</v>
      </c>
      <c r="O18" s="306">
        <f t="shared" si="2"/>
        <v>0</v>
      </c>
      <c r="P18" s="306">
        <f t="shared" si="2"/>
        <v>0</v>
      </c>
      <c r="Q18" s="306">
        <f t="shared" si="2"/>
        <v>0</v>
      </c>
      <c r="R18" s="306">
        <f t="shared" si="2"/>
        <v>0</v>
      </c>
      <c r="S18" s="306">
        <f t="shared" si="2"/>
        <v>0</v>
      </c>
      <c r="T18" s="306">
        <f t="shared" si="2"/>
        <v>0</v>
      </c>
    </row>
    <row r="19" spans="2:21" s="94" customFormat="1">
      <c r="B19" s="76"/>
      <c r="C19" s="76"/>
      <c r="D19" s="231" t="s">
        <v>37</v>
      </c>
      <c r="E19" s="230">
        <f>E18-Production!E14</f>
        <v>0</v>
      </c>
      <c r="F19" s="230">
        <f>F18-Production!F14</f>
        <v>0</v>
      </c>
      <c r="G19" s="230">
        <f>G18-Production!G14</f>
        <v>0</v>
      </c>
      <c r="H19" s="230">
        <f>H18-Production!H14</f>
        <v>0</v>
      </c>
      <c r="I19" s="230">
        <f>I18-Production!I14</f>
        <v>0</v>
      </c>
      <c r="J19" s="230">
        <f>J18-Production!J14</f>
        <v>0</v>
      </c>
      <c r="K19" s="230">
        <f>K18-Production!K14</f>
        <v>0</v>
      </c>
      <c r="L19" s="230">
        <f>L18-Production!L14</f>
        <v>0</v>
      </c>
      <c r="M19" s="230">
        <f>M18-Production!M14</f>
        <v>0</v>
      </c>
      <c r="N19" s="230">
        <f>N18-Production!N14</f>
        <v>0</v>
      </c>
      <c r="O19" s="230">
        <f>O18-Production!O14</f>
        <v>0</v>
      </c>
      <c r="P19" s="230">
        <f>P18-Production!P14</f>
        <v>0</v>
      </c>
      <c r="Q19" s="230">
        <f>Q18-Production!Q14</f>
        <v>0</v>
      </c>
      <c r="R19" s="230">
        <f>R18-Production!R14</f>
        <v>0</v>
      </c>
      <c r="S19" s="230">
        <f>S18-Production!S14</f>
        <v>0</v>
      </c>
      <c r="T19" s="230">
        <f>T18-Production!T14</f>
        <v>0</v>
      </c>
    </row>
    <row r="20" spans="2:21" s="94" customFormat="1">
      <c r="B20" s="302" t="s">
        <v>363</v>
      </c>
      <c r="C20" s="302"/>
      <c r="D20" s="302"/>
      <c r="E20" s="303"/>
      <c r="F20" s="303"/>
      <c r="G20" s="303"/>
      <c r="H20" s="303"/>
      <c r="I20" s="303"/>
      <c r="J20" s="303"/>
      <c r="K20" s="303"/>
      <c r="L20" s="303"/>
      <c r="M20" s="303"/>
      <c r="N20" s="303"/>
      <c r="O20" s="303"/>
      <c r="P20" s="303"/>
      <c r="Q20" s="303"/>
      <c r="R20" s="303"/>
      <c r="S20" s="303"/>
      <c r="T20" s="303"/>
    </row>
    <row r="21" spans="2:21" s="94" customFormat="1" ht="15.75">
      <c r="B21" s="96"/>
      <c r="C21" s="96"/>
      <c r="D21" s="96"/>
      <c r="E21" s="96"/>
      <c r="F21" s="96"/>
      <c r="G21" s="96"/>
      <c r="H21" s="96"/>
      <c r="I21" s="96"/>
      <c r="J21" s="96"/>
      <c r="K21" s="96"/>
      <c r="L21" s="96"/>
      <c r="M21" s="96"/>
      <c r="N21" s="96"/>
      <c r="O21" s="96"/>
      <c r="P21" s="96"/>
      <c r="Q21" s="96"/>
      <c r="R21" s="96"/>
      <c r="S21" s="96"/>
      <c r="T21" s="96"/>
    </row>
    <row r="22" spans="2:21" s="94" customFormat="1" ht="15.75">
      <c r="B22" s="318" t="s">
        <v>96</v>
      </c>
      <c r="C22" s="125"/>
      <c r="D22" s="204" t="s">
        <v>8</v>
      </c>
      <c r="E22" s="309">
        <f t="shared" ref="E22:J22" si="3">E26/E33</f>
        <v>0.67433945095884762</v>
      </c>
      <c r="F22" s="309">
        <f t="shared" si="3"/>
        <v>0.67608458078990641</v>
      </c>
      <c r="G22" s="309">
        <f t="shared" si="3"/>
        <v>0.67667139846381752</v>
      </c>
      <c r="H22" s="309">
        <f t="shared" si="3"/>
        <v>0.6791745064965915</v>
      </c>
      <c r="I22" s="309">
        <f t="shared" si="3"/>
        <v>0.66528812362939937</v>
      </c>
      <c r="J22" s="309">
        <f t="shared" si="3"/>
        <v>0.63290315169217726</v>
      </c>
      <c r="K22" s="309">
        <f>K29/K33</f>
        <v>0.58602825301261663</v>
      </c>
      <c r="L22" s="309">
        <f>L29/L33</f>
        <v>0.45736270887965852</v>
      </c>
      <c r="M22" s="309">
        <f t="shared" ref="M22:T22" si="4">M29/M33</f>
        <v>0.45161240237862343</v>
      </c>
      <c r="N22" s="561">
        <f>N29/N33</f>
        <v>0.34366429699488632</v>
      </c>
      <c r="O22" s="554">
        <f t="shared" si="4"/>
        <v>0.34366429699488632</v>
      </c>
      <c r="P22" s="554">
        <f t="shared" si="4"/>
        <v>0.34366429699488632</v>
      </c>
      <c r="Q22" s="554">
        <f t="shared" si="4"/>
        <v>0.34366429699488632</v>
      </c>
      <c r="R22" s="554">
        <f t="shared" si="4"/>
        <v>0.34366429699488632</v>
      </c>
      <c r="S22" s="554">
        <f t="shared" si="4"/>
        <v>0.34366429699488632</v>
      </c>
      <c r="T22" s="554">
        <f t="shared" si="4"/>
        <v>0.34366429699488632</v>
      </c>
    </row>
    <row r="23" spans="2:21" s="94" customFormat="1" ht="15.75">
      <c r="B23" s="318" t="s">
        <v>364</v>
      </c>
      <c r="C23" s="125"/>
      <c r="D23" s="204" t="s">
        <v>8</v>
      </c>
      <c r="E23" s="309">
        <f>E32/E33</f>
        <v>0.32566054904115233</v>
      </c>
      <c r="F23" s="309">
        <f>F30/F33</f>
        <v>0.32391541921009359</v>
      </c>
      <c r="G23" s="309">
        <f>G30/G33</f>
        <v>0.32332860153618243</v>
      </c>
      <c r="H23" s="309">
        <f>H30/H33</f>
        <v>0.3208254935034085</v>
      </c>
      <c r="I23" s="309">
        <f>I30/I33</f>
        <v>0.33471187637060068</v>
      </c>
      <c r="J23" s="309">
        <f>J30/J33</f>
        <v>0.3670968483078228</v>
      </c>
      <c r="K23" s="309">
        <f>K32/K33</f>
        <v>0.41397174698738332</v>
      </c>
      <c r="L23" s="309">
        <f t="shared" ref="L23:T23" si="5">L32/L33</f>
        <v>0.54263729112034154</v>
      </c>
      <c r="M23" s="309">
        <f t="shared" si="5"/>
        <v>0.54838759762137657</v>
      </c>
      <c r="N23" s="561">
        <f>N32/N33</f>
        <v>0.65633570300511368</v>
      </c>
      <c r="O23" s="554">
        <f t="shared" si="5"/>
        <v>0.65633570300511368</v>
      </c>
      <c r="P23" s="554">
        <f t="shared" si="5"/>
        <v>0.65633570300511368</v>
      </c>
      <c r="Q23" s="554">
        <f t="shared" si="5"/>
        <v>0.65633570300511368</v>
      </c>
      <c r="R23" s="554">
        <f t="shared" si="5"/>
        <v>0.65633570300511368</v>
      </c>
      <c r="S23" s="554">
        <f t="shared" si="5"/>
        <v>0.65633570300511368</v>
      </c>
      <c r="T23" s="554">
        <f t="shared" si="5"/>
        <v>0.65633570300511368</v>
      </c>
    </row>
    <row r="24" spans="2:21" s="94" customFormat="1" ht="15.75">
      <c r="B24" s="325" t="s">
        <v>365</v>
      </c>
      <c r="C24" s="125"/>
      <c r="D24" s="204" t="s">
        <v>97</v>
      </c>
      <c r="E24" s="307">
        <v>0</v>
      </c>
      <c r="F24" s="307">
        <v>0</v>
      </c>
      <c r="G24" s="307">
        <v>0</v>
      </c>
      <c r="H24" s="307">
        <v>0</v>
      </c>
      <c r="I24" s="307">
        <v>0</v>
      </c>
      <c r="J24" s="307">
        <v>0</v>
      </c>
      <c r="K24" s="309"/>
      <c r="L24" s="309"/>
      <c r="M24" s="309"/>
      <c r="N24" s="561"/>
      <c r="O24" s="554"/>
      <c r="P24" s="554"/>
      <c r="Q24" s="554"/>
      <c r="R24" s="554"/>
      <c r="S24" s="554"/>
      <c r="T24" s="554"/>
    </row>
    <row r="25" spans="2:21" s="94" customFormat="1" ht="15.75">
      <c r="B25" s="87"/>
      <c r="C25" s="96"/>
      <c r="D25" s="204"/>
      <c r="E25" s="323"/>
      <c r="F25" s="323"/>
      <c r="G25" s="323"/>
      <c r="H25" s="323"/>
      <c r="I25" s="323"/>
      <c r="J25" s="323"/>
      <c r="K25" s="323"/>
      <c r="L25" s="323"/>
      <c r="M25" s="323"/>
      <c r="N25" s="323"/>
      <c r="O25" s="323"/>
      <c r="P25" s="323"/>
      <c r="Q25" s="323"/>
      <c r="R25" s="323"/>
      <c r="S25" s="323"/>
      <c r="T25" s="323"/>
    </row>
    <row r="26" spans="2:21" s="94" customFormat="1" ht="15.75">
      <c r="B26" s="318" t="s">
        <v>98</v>
      </c>
      <c r="C26" s="125"/>
      <c r="D26" s="316" t="s">
        <v>8</v>
      </c>
      <c r="E26" s="322">
        <f t="shared" ref="E26:J26" si="6">E18-E16-E13-E32</f>
        <v>157113</v>
      </c>
      <c r="F26" s="322">
        <f t="shared" si="6"/>
        <v>198587</v>
      </c>
      <c r="G26" s="322">
        <f t="shared" si="6"/>
        <v>214412.40000000002</v>
      </c>
      <c r="H26" s="322">
        <f t="shared" si="6"/>
        <v>198710.5</v>
      </c>
      <c r="I26" s="322">
        <f t="shared" si="6"/>
        <v>194648.01</v>
      </c>
      <c r="J26" s="322">
        <f t="shared" si="6"/>
        <v>183683.13999999996</v>
      </c>
      <c r="K26" s="322">
        <f>K18-K16-K13-K32</f>
        <v>186306</v>
      </c>
      <c r="L26" s="322">
        <f>111101+32263</f>
        <v>143364</v>
      </c>
      <c r="M26" s="322">
        <f>110273+35162</f>
        <v>145435</v>
      </c>
      <c r="N26" s="322">
        <f>112014+41617</f>
        <v>153631</v>
      </c>
      <c r="O26" s="446">
        <f t="shared" ref="O26:T26" si="7">N29</f>
        <v>153631</v>
      </c>
      <c r="P26" s="446">
        <f t="shared" si="7"/>
        <v>153631</v>
      </c>
      <c r="Q26" s="446">
        <f t="shared" si="7"/>
        <v>153631</v>
      </c>
      <c r="R26" s="446">
        <f t="shared" si="7"/>
        <v>153631</v>
      </c>
      <c r="S26" s="446">
        <f t="shared" si="7"/>
        <v>153631</v>
      </c>
      <c r="T26" s="446">
        <f t="shared" si="7"/>
        <v>153631</v>
      </c>
    </row>
    <row r="27" spans="2:21" s="94" customFormat="1" ht="15.75">
      <c r="B27" s="319" t="s">
        <v>99</v>
      </c>
      <c r="C27" s="320"/>
      <c r="D27" s="316" t="s">
        <v>8</v>
      </c>
      <c r="E27" s="322">
        <v>0</v>
      </c>
      <c r="F27" s="322">
        <v>0</v>
      </c>
      <c r="G27" s="322">
        <v>0</v>
      </c>
      <c r="H27" s="322">
        <v>0</v>
      </c>
      <c r="I27" s="322">
        <v>0</v>
      </c>
      <c r="J27" s="322">
        <v>0</v>
      </c>
      <c r="K27" s="322">
        <v>0</v>
      </c>
      <c r="L27" s="322">
        <v>0</v>
      </c>
      <c r="M27" s="322">
        <v>0</v>
      </c>
      <c r="N27" s="322">
        <v>0</v>
      </c>
      <c r="O27" s="446">
        <v>0</v>
      </c>
      <c r="P27" s="446">
        <v>0</v>
      </c>
      <c r="Q27" s="446">
        <v>0</v>
      </c>
      <c r="R27" s="446">
        <v>0</v>
      </c>
      <c r="S27" s="446">
        <v>0</v>
      </c>
      <c r="T27" s="446">
        <v>0</v>
      </c>
    </row>
    <row r="28" spans="2:21" s="94" customFormat="1" ht="15.75">
      <c r="B28" s="319" t="s">
        <v>100</v>
      </c>
      <c r="C28" s="320"/>
      <c r="D28" s="316" t="s">
        <v>8</v>
      </c>
      <c r="E28" s="322">
        <f>'Land Sales and Purchase'!E9-'Land Sales and Purchase'!E16</f>
        <v>0</v>
      </c>
      <c r="F28" s="322">
        <f>'Land Sales and Purchase'!F9-'Land Sales and Purchase'!F16</f>
        <v>0</v>
      </c>
      <c r="G28" s="322">
        <f>'Land Sales and Purchase'!G9-'Land Sales and Purchase'!G16</f>
        <v>0</v>
      </c>
      <c r="H28" s="322">
        <f>'Land Sales and Purchase'!H9-'Land Sales and Purchase'!H16</f>
        <v>0</v>
      </c>
      <c r="I28" s="322">
        <f>'Land Sales and Purchase'!I9-'Land Sales and Purchase'!I16</f>
        <v>0</v>
      </c>
      <c r="J28" s="322">
        <f>'Land Sales and Purchase'!I16-'Land Sales and Purchase'!I9</f>
        <v>0</v>
      </c>
      <c r="K28" s="322">
        <f>'Land Sales and Purchase'!J16-'Land Sales and Purchase'!J9</f>
        <v>0</v>
      </c>
      <c r="L28" s="322">
        <f>'Land Sales and Purchase'!K16-'Land Sales and Purchase'!K9</f>
        <v>0</v>
      </c>
      <c r="M28" s="322">
        <f>'Land Sales and Purchase'!L16-'Land Sales and Purchase'!L9</f>
        <v>0</v>
      </c>
      <c r="N28" s="322">
        <f>'Land Sales and Purchase'!M16-'Land Sales and Purchase'!M9</f>
        <v>0</v>
      </c>
      <c r="O28" s="446">
        <f>'Land Sales and Purchase'!N16-'Land Sales and Purchase'!N9</f>
        <v>0</v>
      </c>
      <c r="P28" s="446">
        <f>'Land Sales and Purchase'!O16-'Land Sales and Purchase'!O9</f>
        <v>0</v>
      </c>
      <c r="Q28" s="446">
        <f>'Land Sales and Purchase'!P16-'Land Sales and Purchase'!P9</f>
        <v>0</v>
      </c>
      <c r="R28" s="446">
        <f>'Land Sales and Purchase'!Q16-'Land Sales and Purchase'!Q9</f>
        <v>0</v>
      </c>
      <c r="S28" s="446">
        <f>'Land Sales and Purchase'!R16-'Land Sales and Purchase'!R9</f>
        <v>0</v>
      </c>
      <c r="T28" s="446">
        <f>'Land Sales and Purchase'!S16-'Land Sales and Purchase'!S9</f>
        <v>0</v>
      </c>
    </row>
    <row r="29" spans="2:21" s="94" customFormat="1" ht="15.75">
      <c r="B29" s="319" t="s">
        <v>101</v>
      </c>
      <c r="C29" s="320"/>
      <c r="D29" s="316" t="s">
        <v>8</v>
      </c>
      <c r="E29" s="322">
        <f t="shared" ref="E29:J29" si="8">E26+E28</f>
        <v>157113</v>
      </c>
      <c r="F29" s="322">
        <f t="shared" si="8"/>
        <v>198587</v>
      </c>
      <c r="G29" s="322">
        <f t="shared" si="8"/>
        <v>214412.40000000002</v>
      </c>
      <c r="H29" s="322">
        <f t="shared" si="8"/>
        <v>198710.5</v>
      </c>
      <c r="I29" s="322">
        <f t="shared" si="8"/>
        <v>194648.01</v>
      </c>
      <c r="J29" s="322">
        <f t="shared" si="8"/>
        <v>183683.13999999996</v>
      </c>
      <c r="K29" s="322">
        <f t="shared" ref="K29:T29" si="9">K26+K28+K27</f>
        <v>186306</v>
      </c>
      <c r="L29" s="322">
        <f t="shared" si="9"/>
        <v>143364</v>
      </c>
      <c r="M29" s="322">
        <f>M26+M28+M27</f>
        <v>145435</v>
      </c>
      <c r="N29" s="322">
        <f t="shared" si="9"/>
        <v>153631</v>
      </c>
      <c r="O29" s="446">
        <f t="shared" si="9"/>
        <v>153631</v>
      </c>
      <c r="P29" s="446">
        <f t="shared" si="9"/>
        <v>153631</v>
      </c>
      <c r="Q29" s="446">
        <f t="shared" si="9"/>
        <v>153631</v>
      </c>
      <c r="R29" s="446">
        <f t="shared" si="9"/>
        <v>153631</v>
      </c>
      <c r="S29" s="446">
        <f t="shared" si="9"/>
        <v>153631</v>
      </c>
      <c r="T29" s="446">
        <f t="shared" si="9"/>
        <v>153631</v>
      </c>
    </row>
    <row r="30" spans="2:21" s="94" customFormat="1" ht="15.75">
      <c r="B30" s="319" t="s">
        <v>366</v>
      </c>
      <c r="C30" s="320"/>
      <c r="D30" s="316" t="s">
        <v>8</v>
      </c>
      <c r="E30" s="322">
        <v>75875</v>
      </c>
      <c r="F30" s="322">
        <v>95144</v>
      </c>
      <c r="G30" s="322">
        <v>102451</v>
      </c>
      <c r="H30" s="322">
        <v>93866</v>
      </c>
      <c r="I30" s="322">
        <v>97929</v>
      </c>
      <c r="J30" s="322">
        <v>106540</v>
      </c>
      <c r="K30" s="322">
        <v>131607</v>
      </c>
      <c r="L30" s="322">
        <f>129946+40148</f>
        <v>170094</v>
      </c>
      <c r="M30" s="322">
        <f>135006+41594</f>
        <v>176600</v>
      </c>
      <c r="N30" s="322">
        <f>252244+41163</f>
        <v>293407</v>
      </c>
      <c r="O30" s="446">
        <f t="shared" ref="O30:T30" si="10">N30</f>
        <v>293407</v>
      </c>
      <c r="P30" s="446">
        <f t="shared" si="10"/>
        <v>293407</v>
      </c>
      <c r="Q30" s="446">
        <f t="shared" si="10"/>
        <v>293407</v>
      </c>
      <c r="R30" s="446">
        <f t="shared" si="10"/>
        <v>293407</v>
      </c>
      <c r="S30" s="446">
        <f t="shared" si="10"/>
        <v>293407</v>
      </c>
      <c r="T30" s="446">
        <f t="shared" si="10"/>
        <v>293407</v>
      </c>
    </row>
    <row r="31" spans="2:21" s="94" customFormat="1" ht="15.75">
      <c r="B31" s="319" t="s">
        <v>102</v>
      </c>
      <c r="C31" s="320"/>
      <c r="D31" s="316" t="s">
        <v>8</v>
      </c>
      <c r="E31" s="322">
        <v>0</v>
      </c>
      <c r="F31" s="322">
        <v>0</v>
      </c>
      <c r="G31" s="322">
        <v>0</v>
      </c>
      <c r="H31" s="322">
        <v>0</v>
      </c>
      <c r="I31" s="322">
        <v>0</v>
      </c>
      <c r="J31" s="322">
        <v>0</v>
      </c>
      <c r="K31" s="322">
        <v>0</v>
      </c>
      <c r="L31" s="322">
        <v>0</v>
      </c>
      <c r="M31" s="322">
        <v>0</v>
      </c>
      <c r="N31" s="322">
        <v>0</v>
      </c>
      <c r="O31" s="446">
        <v>0</v>
      </c>
      <c r="P31" s="446">
        <v>0</v>
      </c>
      <c r="Q31" s="446">
        <v>0</v>
      </c>
      <c r="R31" s="446">
        <v>0</v>
      </c>
      <c r="S31" s="446">
        <v>0</v>
      </c>
      <c r="T31" s="446">
        <v>0</v>
      </c>
    </row>
    <row r="32" spans="2:21" s="94" customFormat="1" ht="15.75">
      <c r="B32" s="299" t="s">
        <v>103</v>
      </c>
      <c r="C32" s="96"/>
      <c r="D32" s="316" t="s">
        <v>8</v>
      </c>
      <c r="E32" s="310">
        <f t="shared" ref="E32:T32" si="11">E30+E31</f>
        <v>75875</v>
      </c>
      <c r="F32" s="310">
        <f t="shared" si="11"/>
        <v>95144</v>
      </c>
      <c r="G32" s="310">
        <f t="shared" si="11"/>
        <v>102451</v>
      </c>
      <c r="H32" s="310">
        <f t="shared" si="11"/>
        <v>93866</v>
      </c>
      <c r="I32" s="310">
        <f t="shared" si="11"/>
        <v>97929</v>
      </c>
      <c r="J32" s="322">
        <f t="shared" si="11"/>
        <v>106540</v>
      </c>
      <c r="K32" s="322">
        <f>K30+K31</f>
        <v>131607</v>
      </c>
      <c r="L32" s="322">
        <f>L30+L31</f>
        <v>170094</v>
      </c>
      <c r="M32" s="322">
        <f>M30+M31</f>
        <v>176600</v>
      </c>
      <c r="N32" s="322">
        <f t="shared" si="11"/>
        <v>293407</v>
      </c>
      <c r="O32" s="446">
        <f t="shared" si="11"/>
        <v>293407</v>
      </c>
      <c r="P32" s="446">
        <f t="shared" si="11"/>
        <v>293407</v>
      </c>
      <c r="Q32" s="446">
        <f t="shared" si="11"/>
        <v>293407</v>
      </c>
      <c r="R32" s="446">
        <f t="shared" si="11"/>
        <v>293407</v>
      </c>
      <c r="S32" s="446">
        <f t="shared" si="11"/>
        <v>293407</v>
      </c>
      <c r="T32" s="446">
        <f t="shared" si="11"/>
        <v>293407</v>
      </c>
    </row>
    <row r="33" spans="2:256" s="94" customFormat="1" ht="15.75">
      <c r="B33" s="36" t="s">
        <v>0</v>
      </c>
      <c r="C33" s="221"/>
      <c r="D33" s="317" t="s">
        <v>8</v>
      </c>
      <c r="E33" s="311">
        <f t="shared" ref="E33:J33" si="12">E26+E32</f>
        <v>232988</v>
      </c>
      <c r="F33" s="311">
        <f t="shared" si="12"/>
        <v>293731</v>
      </c>
      <c r="G33" s="311">
        <f t="shared" si="12"/>
        <v>316863.40000000002</v>
      </c>
      <c r="H33" s="311">
        <f t="shared" si="12"/>
        <v>292576.5</v>
      </c>
      <c r="I33" s="311">
        <f t="shared" si="12"/>
        <v>292577.01</v>
      </c>
      <c r="J33" s="311">
        <f t="shared" si="12"/>
        <v>290223.13999999996</v>
      </c>
      <c r="K33" s="311">
        <f>K29+K32</f>
        <v>317913</v>
      </c>
      <c r="L33" s="311">
        <f t="shared" ref="L33:T33" si="13">L29+L32</f>
        <v>313458</v>
      </c>
      <c r="M33" s="311">
        <f t="shared" si="13"/>
        <v>322035</v>
      </c>
      <c r="N33" s="311">
        <f t="shared" si="13"/>
        <v>447038</v>
      </c>
      <c r="O33" s="311">
        <f t="shared" si="13"/>
        <v>447038</v>
      </c>
      <c r="P33" s="311">
        <f t="shared" si="13"/>
        <v>447038</v>
      </c>
      <c r="Q33" s="311">
        <f t="shared" si="13"/>
        <v>447038</v>
      </c>
      <c r="R33" s="311">
        <f t="shared" si="13"/>
        <v>447038</v>
      </c>
      <c r="S33" s="311">
        <f t="shared" si="13"/>
        <v>447038</v>
      </c>
      <c r="T33" s="311">
        <f t="shared" si="13"/>
        <v>447038</v>
      </c>
    </row>
    <row r="34" spans="2:256" s="553" customFormat="1">
      <c r="B34" s="549"/>
      <c r="C34" s="550"/>
      <c r="D34" s="551" t="s">
        <v>37</v>
      </c>
      <c r="E34" s="552">
        <f t="shared" ref="E34:J34" si="14">(E18-E16-E13)-E33</f>
        <v>0</v>
      </c>
      <c r="F34" s="552">
        <f t="shared" si="14"/>
        <v>0</v>
      </c>
      <c r="G34" s="552">
        <f t="shared" si="14"/>
        <v>0</v>
      </c>
      <c r="H34" s="552">
        <f t="shared" si="14"/>
        <v>0</v>
      </c>
      <c r="I34" s="552">
        <f t="shared" si="14"/>
        <v>0</v>
      </c>
      <c r="J34" s="552">
        <f t="shared" si="14"/>
        <v>0</v>
      </c>
      <c r="K34" s="552">
        <f>(K18-K16-K13)-K33</f>
        <v>0</v>
      </c>
      <c r="L34" s="552">
        <f>(L18-L16-L13)-L33</f>
        <v>1310</v>
      </c>
      <c r="M34" s="552">
        <f t="shared" ref="M34:T34" si="15">(M18-M16-M13)-M33</f>
        <v>-3324.710000000021</v>
      </c>
      <c r="N34" s="552">
        <f t="shared" si="15"/>
        <v>10239</v>
      </c>
      <c r="O34" s="552">
        <f t="shared" si="15"/>
        <v>-447038</v>
      </c>
      <c r="P34" s="552">
        <f t="shared" si="15"/>
        <v>-447038</v>
      </c>
      <c r="Q34" s="552">
        <f t="shared" si="15"/>
        <v>-447038</v>
      </c>
      <c r="R34" s="552">
        <f t="shared" si="15"/>
        <v>-447038</v>
      </c>
      <c r="S34" s="552">
        <f t="shared" si="15"/>
        <v>-447038</v>
      </c>
      <c r="T34" s="552">
        <f t="shared" si="15"/>
        <v>-447038</v>
      </c>
    </row>
    <row r="35" spans="2:256" s="94" customFormat="1" ht="8.25" customHeight="1">
      <c r="B35" s="87"/>
      <c r="C35" s="96"/>
      <c r="D35" s="313"/>
      <c r="E35" s="314"/>
      <c r="F35" s="314"/>
      <c r="G35" s="314"/>
      <c r="H35" s="314"/>
      <c r="I35" s="314"/>
      <c r="J35" s="314"/>
      <c r="K35" s="314"/>
      <c r="L35" s="314"/>
      <c r="M35" s="314"/>
      <c r="N35" s="314"/>
      <c r="O35" s="314"/>
      <c r="P35" s="314"/>
      <c r="Q35" s="314"/>
      <c r="R35" s="314"/>
      <c r="S35" s="314"/>
      <c r="T35" s="314"/>
    </row>
    <row r="36" spans="2:256" s="94" customFormat="1" ht="15.75">
      <c r="B36" s="326" t="s">
        <v>104</v>
      </c>
      <c r="C36" s="327"/>
      <c r="D36" s="328"/>
      <c r="E36" s="314"/>
      <c r="F36" s="314"/>
      <c r="G36" s="314"/>
      <c r="H36" s="314"/>
      <c r="I36" s="314"/>
      <c r="J36" s="314"/>
      <c r="K36" s="314"/>
      <c r="L36" s="314"/>
      <c r="M36" s="314"/>
      <c r="N36" s="314"/>
      <c r="O36" s="314"/>
      <c r="P36" s="314"/>
      <c r="Q36" s="314"/>
      <c r="R36" s="314"/>
      <c r="S36" s="314"/>
      <c r="T36" s="314"/>
    </row>
    <row r="37" spans="2:256" s="94" customFormat="1" ht="15.75">
      <c r="B37" s="329" t="s">
        <v>105</v>
      </c>
      <c r="C37" s="331" t="s">
        <v>8</v>
      </c>
      <c r="D37" s="532">
        <v>6171</v>
      </c>
      <c r="E37" s="314"/>
      <c r="F37" s="314" t="s">
        <v>390</v>
      </c>
      <c r="G37" s="314"/>
      <c r="H37" s="314"/>
      <c r="I37" s="314"/>
      <c r="J37" s="314"/>
      <c r="K37" s="314"/>
      <c r="L37" s="314"/>
      <c r="M37" s="314"/>
      <c r="N37" s="314"/>
      <c r="O37" s="314"/>
      <c r="P37" s="314"/>
      <c r="Q37" s="314"/>
      <c r="R37" s="314"/>
      <c r="S37" s="314"/>
      <c r="T37" s="314"/>
    </row>
    <row r="38" spans="2:256" s="94" customFormat="1" ht="15.75">
      <c r="B38" s="329" t="s">
        <v>367</v>
      </c>
      <c r="C38" s="331" t="s">
        <v>8</v>
      </c>
      <c r="D38" s="532">
        <v>0</v>
      </c>
      <c r="E38" s="314"/>
      <c r="F38" s="314"/>
      <c r="G38" s="314"/>
      <c r="H38" s="314"/>
      <c r="I38" s="314"/>
      <c r="J38" s="314"/>
      <c r="K38" s="314"/>
      <c r="L38" s="314"/>
      <c r="M38" s="314"/>
      <c r="N38" s="314"/>
      <c r="O38" s="314"/>
      <c r="P38" s="314"/>
      <c r="Q38" s="314"/>
      <c r="R38" s="314"/>
      <c r="S38" s="314"/>
      <c r="T38" s="314"/>
    </row>
    <row r="39" spans="2:256" s="94" customFormat="1" ht="15.75">
      <c r="B39" s="326" t="s">
        <v>106</v>
      </c>
      <c r="C39" s="328" t="s">
        <v>8</v>
      </c>
      <c r="D39" s="330">
        <f>SUM(D37:D38)</f>
        <v>6171</v>
      </c>
      <c r="E39" s="314"/>
      <c r="F39" s="314"/>
      <c r="G39" s="314"/>
      <c r="H39" s="314"/>
      <c r="I39" s="314"/>
      <c r="J39" s="314"/>
      <c r="K39" s="314"/>
      <c r="L39" s="314"/>
      <c r="M39" s="314"/>
      <c r="N39" s="314"/>
      <c r="O39" s="314"/>
      <c r="P39" s="314"/>
      <c r="Q39" s="314"/>
      <c r="R39" s="314"/>
      <c r="S39" s="314"/>
      <c r="T39" s="314"/>
    </row>
    <row r="40" spans="2:256" s="94" customFormat="1" ht="8.25" customHeight="1">
      <c r="B40" s="315"/>
      <c r="C40" s="321"/>
      <c r="D40" s="324"/>
      <c r="E40" s="315"/>
      <c r="F40" s="315"/>
      <c r="G40" s="315"/>
      <c r="H40" s="315"/>
      <c r="I40" s="315"/>
      <c r="J40" s="315"/>
      <c r="K40" s="315"/>
      <c r="L40" s="315"/>
      <c r="M40" s="315"/>
      <c r="N40" s="315"/>
      <c r="O40" s="315"/>
      <c r="P40" s="315"/>
      <c r="Q40" s="315"/>
      <c r="R40" s="315"/>
      <c r="S40" s="315"/>
      <c r="T40" s="315"/>
      <c r="U40" s="299"/>
      <c r="V40" s="299"/>
      <c r="W40" s="299"/>
      <c r="X40" s="299"/>
      <c r="Y40" s="299"/>
      <c r="Z40" s="299"/>
      <c r="AA40" s="299"/>
      <c r="AB40" s="299"/>
      <c r="AC40" s="299"/>
      <c r="AD40" s="299"/>
      <c r="AE40" s="299"/>
      <c r="AF40" s="299"/>
      <c r="AG40" s="299"/>
      <c r="AH40" s="299"/>
      <c r="AI40" s="299"/>
      <c r="AJ40" s="299"/>
      <c r="AK40" s="299"/>
      <c r="AL40" s="299"/>
      <c r="AM40" s="299"/>
      <c r="AN40" s="299"/>
      <c r="AO40" s="299"/>
      <c r="AP40" s="299"/>
      <c r="AQ40" s="299"/>
      <c r="AR40" s="299"/>
      <c r="AS40" s="299"/>
      <c r="AT40" s="299"/>
      <c r="AU40" s="299"/>
      <c r="AV40" s="299"/>
      <c r="AW40" s="299"/>
      <c r="AX40" s="299"/>
      <c r="AY40" s="299"/>
      <c r="AZ40" s="299"/>
      <c r="BA40" s="299"/>
      <c r="BB40" s="299"/>
      <c r="BC40" s="299"/>
      <c r="BD40" s="299"/>
      <c r="BE40" s="299"/>
      <c r="BF40" s="299"/>
      <c r="BG40" s="299"/>
      <c r="BH40" s="299"/>
      <c r="BI40" s="299"/>
      <c r="BJ40" s="299"/>
      <c r="BK40" s="299"/>
      <c r="BL40" s="299"/>
      <c r="BM40" s="299"/>
      <c r="BN40" s="299"/>
      <c r="BO40" s="299"/>
      <c r="BP40" s="299"/>
      <c r="BQ40" s="299"/>
      <c r="BR40" s="299"/>
      <c r="BS40" s="299"/>
      <c r="BT40" s="299"/>
      <c r="BU40" s="299"/>
      <c r="BV40" s="299"/>
      <c r="BW40" s="299"/>
      <c r="BX40" s="299"/>
      <c r="BY40" s="299"/>
      <c r="BZ40" s="299"/>
      <c r="CA40" s="299"/>
      <c r="CB40" s="299"/>
      <c r="CC40" s="299"/>
      <c r="CD40" s="299"/>
      <c r="CE40" s="299"/>
      <c r="CF40" s="299"/>
      <c r="CG40" s="299"/>
      <c r="CH40" s="299"/>
      <c r="CI40" s="299"/>
      <c r="CJ40" s="299"/>
      <c r="CK40" s="299"/>
      <c r="CL40" s="299"/>
      <c r="CM40" s="299"/>
      <c r="CN40" s="299"/>
      <c r="CO40" s="299"/>
      <c r="CP40" s="299"/>
      <c r="CQ40" s="299"/>
      <c r="CR40" s="299"/>
      <c r="CS40" s="299"/>
      <c r="CT40" s="299"/>
      <c r="CU40" s="299"/>
      <c r="CV40" s="299"/>
      <c r="CW40" s="299"/>
      <c r="CX40" s="299"/>
      <c r="CY40" s="299"/>
      <c r="CZ40" s="299"/>
      <c r="DA40" s="299"/>
      <c r="DB40" s="299"/>
      <c r="DC40" s="299"/>
      <c r="DD40" s="299"/>
      <c r="DE40" s="299"/>
      <c r="DF40" s="299"/>
      <c r="DG40" s="299"/>
      <c r="DH40" s="299"/>
      <c r="DI40" s="299"/>
      <c r="DJ40" s="299"/>
      <c r="DK40" s="299"/>
      <c r="DL40" s="299"/>
      <c r="DM40" s="299"/>
      <c r="DN40" s="299"/>
      <c r="DO40" s="299"/>
      <c r="DP40" s="299"/>
      <c r="DQ40" s="299"/>
      <c r="DR40" s="299"/>
      <c r="DS40" s="299"/>
      <c r="DT40" s="299"/>
      <c r="DU40" s="299"/>
      <c r="DV40" s="299"/>
      <c r="DW40" s="299"/>
      <c r="DX40" s="299"/>
      <c r="DY40" s="299"/>
      <c r="DZ40" s="299"/>
      <c r="EA40" s="299"/>
      <c r="EB40" s="299"/>
      <c r="EC40" s="299"/>
      <c r="ED40" s="299"/>
      <c r="EE40" s="299"/>
      <c r="EF40" s="299"/>
      <c r="EG40" s="299"/>
      <c r="EH40" s="299"/>
      <c r="EI40" s="299"/>
      <c r="EJ40" s="299"/>
      <c r="EK40" s="299"/>
      <c r="EL40" s="299"/>
      <c r="EM40" s="299"/>
      <c r="EN40" s="299"/>
      <c r="EO40" s="299"/>
      <c r="EP40" s="299"/>
      <c r="EQ40" s="299"/>
      <c r="ER40" s="299"/>
      <c r="ES40" s="299"/>
      <c r="ET40" s="299"/>
      <c r="EU40" s="299"/>
      <c r="EV40" s="299"/>
      <c r="EW40" s="299"/>
      <c r="EX40" s="299"/>
      <c r="EY40" s="299"/>
      <c r="EZ40" s="299"/>
      <c r="FA40" s="299"/>
      <c r="FB40" s="299"/>
      <c r="FC40" s="299"/>
      <c r="FD40" s="299"/>
      <c r="FE40" s="299"/>
      <c r="FF40" s="299"/>
      <c r="FG40" s="299"/>
      <c r="FH40" s="299"/>
      <c r="FI40" s="299"/>
      <c r="FJ40" s="299"/>
      <c r="FK40" s="299"/>
      <c r="FL40" s="299"/>
      <c r="FM40" s="299"/>
      <c r="FN40" s="299"/>
      <c r="FO40" s="299"/>
      <c r="FP40" s="299"/>
      <c r="FQ40" s="299"/>
      <c r="FR40" s="299"/>
      <c r="FS40" s="299"/>
      <c r="FT40" s="299"/>
      <c r="FU40" s="299"/>
      <c r="FV40" s="299"/>
      <c r="FW40" s="299"/>
      <c r="FX40" s="299"/>
      <c r="FY40" s="299"/>
      <c r="FZ40" s="299"/>
      <c r="GA40" s="299"/>
      <c r="GB40" s="299"/>
      <c r="GC40" s="299"/>
      <c r="GD40" s="299"/>
      <c r="GE40" s="299"/>
      <c r="GF40" s="299"/>
      <c r="GG40" s="299"/>
      <c r="GH40" s="299"/>
      <c r="GI40" s="299"/>
      <c r="GJ40" s="299"/>
      <c r="GK40" s="299"/>
      <c r="GL40" s="299"/>
      <c r="GM40" s="299"/>
      <c r="GN40" s="299"/>
      <c r="GO40" s="299"/>
      <c r="GP40" s="299"/>
      <c r="GQ40" s="299"/>
      <c r="GR40" s="299"/>
      <c r="GS40" s="299"/>
      <c r="GT40" s="299"/>
      <c r="GU40" s="299"/>
      <c r="GV40" s="299"/>
      <c r="GW40" s="299"/>
      <c r="GX40" s="299"/>
      <c r="GY40" s="299"/>
      <c r="GZ40" s="299"/>
      <c r="HA40" s="299"/>
      <c r="HB40" s="299"/>
      <c r="HC40" s="299"/>
      <c r="HD40" s="299"/>
      <c r="HE40" s="299"/>
      <c r="HF40" s="299"/>
      <c r="HG40" s="299"/>
      <c r="HH40" s="299"/>
      <c r="HI40" s="299"/>
      <c r="HJ40" s="299"/>
      <c r="HK40" s="299"/>
      <c r="HL40" s="299"/>
      <c r="HM40" s="299"/>
      <c r="HN40" s="299"/>
      <c r="HO40" s="299"/>
      <c r="HP40" s="299"/>
      <c r="HQ40" s="299"/>
      <c r="HR40" s="299"/>
      <c r="HS40" s="299"/>
      <c r="HT40" s="299"/>
      <c r="HU40" s="299"/>
      <c r="HV40" s="299"/>
      <c r="HW40" s="299"/>
      <c r="HX40" s="299"/>
      <c r="HY40" s="299"/>
      <c r="HZ40" s="299"/>
      <c r="IA40" s="299"/>
      <c r="IB40" s="299"/>
      <c r="IC40" s="299"/>
      <c r="ID40" s="299"/>
      <c r="IE40" s="299"/>
      <c r="IF40" s="299"/>
      <c r="IG40" s="299"/>
      <c r="IH40" s="299"/>
      <c r="II40" s="299"/>
      <c r="IJ40" s="299"/>
      <c r="IK40" s="299"/>
      <c r="IL40" s="299"/>
      <c r="IM40" s="299"/>
      <c r="IN40" s="299"/>
      <c r="IO40" s="299"/>
      <c r="IP40" s="299"/>
      <c r="IQ40" s="299"/>
      <c r="IR40" s="299"/>
      <c r="IS40" s="299"/>
      <c r="IT40" s="299"/>
      <c r="IU40" s="299"/>
      <c r="IV40" s="299"/>
    </row>
    <row r="41" spans="2:256" s="94" customFormat="1">
      <c r="B41" s="76"/>
      <c r="C41" s="76"/>
      <c r="D41" s="231"/>
      <c r="E41" s="230"/>
      <c r="F41" s="230"/>
      <c r="G41" s="230"/>
      <c r="H41" s="230"/>
      <c r="I41" s="230"/>
      <c r="J41" s="230"/>
      <c r="K41" s="230"/>
      <c r="L41" s="230"/>
      <c r="M41" s="230"/>
      <c r="N41" s="230"/>
      <c r="O41" s="230"/>
      <c r="P41" s="230"/>
      <c r="Q41" s="230"/>
      <c r="R41" s="230"/>
      <c r="S41" s="230"/>
      <c r="T41" s="230"/>
    </row>
    <row r="42" spans="2:256" s="94" customFormat="1">
      <c r="B42" s="302" t="s">
        <v>107</v>
      </c>
      <c r="C42" s="302"/>
      <c r="D42" s="302"/>
      <c r="E42" s="303"/>
      <c r="F42" s="303"/>
      <c r="G42" s="303"/>
      <c r="H42" s="303"/>
      <c r="I42" s="303"/>
      <c r="J42" s="303"/>
      <c r="K42" s="303"/>
      <c r="L42" s="303"/>
      <c r="M42" s="303"/>
      <c r="N42" s="303"/>
      <c r="O42" s="303"/>
      <c r="P42" s="303"/>
      <c r="Q42" s="303"/>
      <c r="R42" s="303"/>
      <c r="S42" s="303"/>
      <c r="T42" s="303"/>
    </row>
    <row r="43" spans="2:256" s="94" customFormat="1">
      <c r="B43" s="5" t="s">
        <v>108</v>
      </c>
      <c r="C43" s="76"/>
      <c r="D43" s="231"/>
      <c r="E43" s="333">
        <f>2640</f>
        <v>2640</v>
      </c>
      <c r="F43" s="333">
        <f>2914</f>
        <v>2914</v>
      </c>
      <c r="G43" s="333">
        <f>3082</f>
        <v>3082</v>
      </c>
      <c r="H43" s="333">
        <f>2580</f>
        <v>2580</v>
      </c>
      <c r="I43" s="333">
        <f>3291</f>
        <v>3291</v>
      </c>
      <c r="J43" s="333">
        <v>3692</v>
      </c>
      <c r="K43" s="333">
        <v>3739.2</v>
      </c>
      <c r="L43" s="333">
        <v>3867</v>
      </c>
      <c r="M43" s="333">
        <v>3985</v>
      </c>
      <c r="N43" s="333">
        <v>3765</v>
      </c>
      <c r="O43" s="447"/>
      <c r="P43" s="447"/>
      <c r="Q43" s="447"/>
      <c r="R43" s="447"/>
      <c r="S43" s="447"/>
      <c r="T43" s="447"/>
    </row>
    <row r="44" spans="2:256" s="94" customFormat="1">
      <c r="B44" s="5" t="s">
        <v>109</v>
      </c>
      <c r="C44" s="76"/>
      <c r="D44" s="231"/>
      <c r="E44" s="334">
        <f>(E45*E12+E46*E13)/E11</f>
        <v>1505.478336380256</v>
      </c>
      <c r="F44" s="334">
        <f t="shared" ref="F44:K44" si="16">(F45*F12+F46*F13)/F11</f>
        <v>1729.2402472615463</v>
      </c>
      <c r="G44" s="334">
        <f t="shared" si="16"/>
        <v>1544.4976968811509</v>
      </c>
      <c r="H44" s="334">
        <f t="shared" si="16"/>
        <v>1278.2773911740146</v>
      </c>
      <c r="I44" s="334">
        <f t="shared" si="16"/>
        <v>1808.7102062031934</v>
      </c>
      <c r="J44" s="334">
        <f t="shared" si="16"/>
        <v>1808.6451761842991</v>
      </c>
      <c r="K44" s="334">
        <f t="shared" si="16"/>
        <v>1654.5721224954941</v>
      </c>
      <c r="L44" s="334">
        <f t="shared" ref="L44:T44" si="17">(L45*L12+L46*L13)/L11</f>
        <v>1755.4980312764023</v>
      </c>
      <c r="M44" s="334">
        <f t="shared" si="17"/>
        <v>1848.4318475747186</v>
      </c>
      <c r="N44" s="334">
        <f t="shared" si="17"/>
        <v>1836.7538886457794</v>
      </c>
      <c r="O44" s="555" t="e">
        <f t="shared" si="17"/>
        <v>#DIV/0!</v>
      </c>
      <c r="P44" s="555" t="e">
        <f t="shared" si="17"/>
        <v>#DIV/0!</v>
      </c>
      <c r="Q44" s="555" t="e">
        <f t="shared" si="17"/>
        <v>#DIV/0!</v>
      </c>
      <c r="R44" s="555" t="e">
        <f t="shared" si="17"/>
        <v>#DIV/0!</v>
      </c>
      <c r="S44" s="555" t="e">
        <f t="shared" si="17"/>
        <v>#DIV/0!</v>
      </c>
      <c r="T44" s="555" t="e">
        <f t="shared" si="17"/>
        <v>#DIV/0!</v>
      </c>
    </row>
    <row r="45" spans="2:256" s="94" customFormat="1">
      <c r="B45" s="149" t="s">
        <v>112</v>
      </c>
      <c r="C45" s="76"/>
      <c r="D45" s="231"/>
      <c r="E45" s="335">
        <f>1558</f>
        <v>1558</v>
      </c>
      <c r="F45" s="335">
        <f>1758</f>
        <v>1758</v>
      </c>
      <c r="G45" s="335">
        <f>1522</f>
        <v>1522</v>
      </c>
      <c r="H45" s="335">
        <f>1250</f>
        <v>1250</v>
      </c>
      <c r="I45" s="335">
        <f>1859</f>
        <v>1859</v>
      </c>
      <c r="J45" s="335">
        <v>1929</v>
      </c>
      <c r="K45" s="335">
        <v>1685</v>
      </c>
      <c r="L45" s="335">
        <v>1785</v>
      </c>
      <c r="M45" s="335">
        <v>1913</v>
      </c>
      <c r="N45" s="335">
        <v>1871</v>
      </c>
      <c r="O45" s="448"/>
      <c r="P45" s="448"/>
      <c r="Q45" s="448"/>
      <c r="R45" s="448"/>
      <c r="S45" s="448"/>
      <c r="T45" s="448"/>
    </row>
    <row r="46" spans="2:256" s="94" customFormat="1">
      <c r="B46" s="149" t="s">
        <v>113</v>
      </c>
      <c r="C46" s="76"/>
      <c r="D46" s="231"/>
      <c r="E46" s="335">
        <f>1285</f>
        <v>1285</v>
      </c>
      <c r="F46" s="335">
        <f>1545</f>
        <v>1545</v>
      </c>
      <c r="G46" s="335">
        <f>1671</f>
        <v>1671</v>
      </c>
      <c r="H46" s="335">
        <f>1389</f>
        <v>1389</v>
      </c>
      <c r="I46" s="335">
        <f>1705</f>
        <v>1705</v>
      </c>
      <c r="J46" s="335">
        <v>1622</v>
      </c>
      <c r="K46" s="335">
        <v>1611</v>
      </c>
      <c r="L46" s="335">
        <v>1713</v>
      </c>
      <c r="M46" s="335">
        <v>1689</v>
      </c>
      <c r="N46" s="335">
        <v>1804</v>
      </c>
      <c r="O46" s="448"/>
      <c r="P46" s="448"/>
      <c r="Q46" s="448"/>
      <c r="R46" s="448"/>
      <c r="S46" s="448"/>
      <c r="T46" s="448"/>
    </row>
    <row r="47" spans="2:256" s="524" customFormat="1">
      <c r="B47" s="5" t="s">
        <v>110</v>
      </c>
      <c r="C47" s="105"/>
      <c r="D47" s="522"/>
      <c r="E47" s="334">
        <v>1976</v>
      </c>
      <c r="F47" s="334">
        <v>2224</v>
      </c>
      <c r="G47" s="334">
        <v>1783</v>
      </c>
      <c r="H47" s="334">
        <v>1679</v>
      </c>
      <c r="I47" s="334">
        <v>2305</v>
      </c>
      <c r="J47" s="334">
        <v>2351</v>
      </c>
      <c r="K47" s="334">
        <v>2090</v>
      </c>
      <c r="L47" s="334">
        <v>2175</v>
      </c>
      <c r="M47" s="334">
        <v>2312</v>
      </c>
      <c r="N47" s="562">
        <v>2299</v>
      </c>
      <c r="O47" s="523"/>
      <c r="P47" s="523"/>
      <c r="Q47" s="523"/>
      <c r="R47" s="523"/>
      <c r="S47" s="523"/>
      <c r="T47" s="523"/>
    </row>
    <row r="48" spans="2:256" s="94" customFormat="1">
      <c r="B48" s="5" t="s">
        <v>111</v>
      </c>
      <c r="C48" s="76"/>
      <c r="D48" s="231"/>
      <c r="E48" s="334">
        <f>(E49*E15+E50*E16)/E14</f>
        <v>7012.6042457329568</v>
      </c>
      <c r="F48" s="334">
        <f t="shared" ref="F48:K48" si="18">(F49*F15+F50*F16)/F14</f>
        <v>7737.6817689352902</v>
      </c>
      <c r="G48" s="334">
        <f t="shared" si="18"/>
        <v>6872.9720646710011</v>
      </c>
      <c r="H48" s="334">
        <f t="shared" si="18"/>
        <v>5378</v>
      </c>
      <c r="I48" s="334">
        <f t="shared" si="18"/>
        <v>6680</v>
      </c>
      <c r="J48" s="334">
        <f t="shared" si="18"/>
        <v>5715</v>
      </c>
      <c r="K48" s="334">
        <f t="shared" si="18"/>
        <v>7099</v>
      </c>
      <c r="L48" s="334">
        <f t="shared" ref="L48:T48" si="19">(L49*L15+L50*L16)/L14</f>
        <v>7300</v>
      </c>
      <c r="M48" s="334">
        <f t="shared" si="19"/>
        <v>5880</v>
      </c>
      <c r="N48" s="334">
        <f t="shared" si="19"/>
        <v>7653</v>
      </c>
      <c r="O48" s="555" t="e">
        <f t="shared" si="19"/>
        <v>#DIV/0!</v>
      </c>
      <c r="P48" s="555" t="e">
        <f t="shared" si="19"/>
        <v>#DIV/0!</v>
      </c>
      <c r="Q48" s="555" t="e">
        <f t="shared" si="19"/>
        <v>#DIV/0!</v>
      </c>
      <c r="R48" s="555" t="e">
        <f t="shared" si="19"/>
        <v>#DIV/0!</v>
      </c>
      <c r="S48" s="555" t="e">
        <f t="shared" si="19"/>
        <v>#DIV/0!</v>
      </c>
      <c r="T48" s="555" t="e">
        <f t="shared" si="19"/>
        <v>#DIV/0!</v>
      </c>
    </row>
    <row r="49" spans="2:25" s="94" customFormat="1">
      <c r="B49" s="149" t="s">
        <v>112</v>
      </c>
      <c r="C49" s="76"/>
      <c r="D49" s="231"/>
      <c r="E49" s="335">
        <f>7385</f>
        <v>7385</v>
      </c>
      <c r="F49" s="335">
        <f>8345</f>
        <v>8345</v>
      </c>
      <c r="G49" s="335">
        <f>5708</f>
        <v>5708</v>
      </c>
      <c r="H49" s="335">
        <v>0</v>
      </c>
      <c r="I49" s="335">
        <v>0</v>
      </c>
      <c r="J49" s="335">
        <v>0</v>
      </c>
      <c r="K49" s="335">
        <v>0</v>
      </c>
      <c r="L49" s="335">
        <v>0</v>
      </c>
      <c r="M49" s="335">
        <v>0</v>
      </c>
      <c r="N49" s="335">
        <v>0</v>
      </c>
      <c r="O49" s="448"/>
      <c r="P49" s="448"/>
      <c r="Q49" s="448"/>
      <c r="R49" s="448"/>
      <c r="S49" s="448"/>
      <c r="T49" s="448"/>
    </row>
    <row r="50" spans="2:25" s="94" customFormat="1">
      <c r="B50" s="332" t="s">
        <v>113</v>
      </c>
      <c r="C50" s="106"/>
      <c r="D50" s="276"/>
      <c r="E50" s="336">
        <f>6857</f>
        <v>6857</v>
      </c>
      <c r="F50" s="336">
        <f>7516</f>
        <v>7516</v>
      </c>
      <c r="G50" s="336">
        <f>7029</f>
        <v>7029</v>
      </c>
      <c r="H50" s="336">
        <f>5378</f>
        <v>5378</v>
      </c>
      <c r="I50" s="336">
        <f>6680</f>
        <v>6680</v>
      </c>
      <c r="J50" s="336">
        <v>5715</v>
      </c>
      <c r="K50" s="336">
        <v>7099</v>
      </c>
      <c r="L50" s="336">
        <v>7300</v>
      </c>
      <c r="M50" s="336">
        <v>5880</v>
      </c>
      <c r="N50" s="336">
        <v>7653</v>
      </c>
      <c r="O50" s="449"/>
      <c r="P50" s="449"/>
      <c r="Q50" s="449"/>
      <c r="R50" s="449"/>
      <c r="S50" s="449"/>
      <c r="T50" s="449"/>
    </row>
    <row r="51" spans="2:25" s="94" customFormat="1">
      <c r="B51" s="76"/>
      <c r="C51" s="76"/>
      <c r="D51" s="231"/>
      <c r="E51" s="230"/>
      <c r="F51" s="230"/>
      <c r="G51" s="230"/>
      <c r="H51" s="230"/>
      <c r="I51" s="230"/>
      <c r="J51" s="230"/>
      <c r="K51" s="230"/>
      <c r="L51" s="230"/>
      <c r="M51" s="230"/>
      <c r="N51" s="230"/>
      <c r="O51" s="230"/>
      <c r="P51" s="230"/>
      <c r="Q51" s="230"/>
      <c r="R51" s="230"/>
      <c r="S51" s="230"/>
      <c r="T51" s="230"/>
    </row>
    <row r="52" spans="2:25" s="94" customFormat="1" ht="15" customHeight="1">
      <c r="B52" s="302" t="s">
        <v>381</v>
      </c>
      <c r="C52" s="302"/>
      <c r="D52" s="302"/>
      <c r="E52" s="427"/>
      <c r="F52" s="303"/>
      <c r="G52" s="303"/>
      <c r="H52" s="303"/>
      <c r="I52" s="303"/>
      <c r="J52" s="303"/>
      <c r="K52" s="303"/>
      <c r="L52" s="303"/>
      <c r="M52" s="303"/>
      <c r="N52" s="303"/>
      <c r="O52" s="303"/>
      <c r="P52" s="303"/>
      <c r="Q52" s="303"/>
      <c r="R52" s="303"/>
      <c r="S52" s="303"/>
      <c r="T52" s="303"/>
    </row>
    <row r="53" spans="2:25" s="94" customFormat="1" ht="15" customHeight="1">
      <c r="B53" s="105"/>
      <c r="C53" s="105"/>
      <c r="D53" s="105"/>
      <c r="E53" s="76"/>
      <c r="F53" s="76"/>
      <c r="G53" s="76"/>
      <c r="H53" s="76"/>
      <c r="I53" s="76"/>
      <c r="J53" s="76"/>
      <c r="K53" s="76"/>
      <c r="L53" s="76"/>
      <c r="M53" s="76"/>
      <c r="N53" s="76"/>
      <c r="O53" s="76"/>
      <c r="P53" s="76"/>
      <c r="Q53" s="76"/>
      <c r="R53" s="76"/>
      <c r="S53" s="76"/>
      <c r="T53" s="76"/>
      <c r="U53" s="95"/>
      <c r="V53" s="95"/>
      <c r="W53" s="95"/>
      <c r="X53" s="95"/>
      <c r="Y53" s="95"/>
    </row>
    <row r="54" spans="2:25" s="94" customFormat="1" ht="15" customHeight="1">
      <c r="B54" s="105" t="s">
        <v>89</v>
      </c>
      <c r="C54" s="105" t="s">
        <v>9</v>
      </c>
      <c r="D54" s="105" t="s">
        <v>10</v>
      </c>
      <c r="E54" s="337">
        <v>13.67</v>
      </c>
      <c r="F54" s="337">
        <v>12.97</v>
      </c>
      <c r="G54" s="337">
        <v>10.67</v>
      </c>
      <c r="H54" s="338">
        <v>9.58</v>
      </c>
      <c r="I54" s="337">
        <v>9.9</v>
      </c>
      <c r="J54" s="337">
        <v>9</v>
      </c>
      <c r="K54" s="337">
        <v>9.17</v>
      </c>
      <c r="L54" s="337">
        <f>10.29-L67</f>
        <v>10.29</v>
      </c>
      <c r="M54" s="337">
        <f>12.46-M67</f>
        <v>12.46</v>
      </c>
      <c r="N54" s="450"/>
      <c r="O54" s="450"/>
      <c r="P54" s="450"/>
      <c r="Q54" s="450"/>
      <c r="R54" s="450"/>
      <c r="S54" s="450"/>
      <c r="T54" s="450"/>
      <c r="U54" s="95"/>
      <c r="V54" s="95"/>
      <c r="W54" s="95"/>
      <c r="X54" s="95"/>
      <c r="Y54" s="95"/>
    </row>
    <row r="55" spans="2:25" s="94" customFormat="1" ht="15" customHeight="1">
      <c r="B55" s="105"/>
      <c r="C55" s="105"/>
      <c r="D55" s="105"/>
      <c r="E55" s="128"/>
      <c r="F55" s="128"/>
      <c r="G55" s="128"/>
      <c r="H55" s="128"/>
      <c r="I55" s="128"/>
      <c r="J55" s="128"/>
      <c r="K55" s="128"/>
      <c r="L55" s="128"/>
      <c r="M55" s="128"/>
      <c r="N55" s="128"/>
      <c r="O55" s="128"/>
      <c r="P55" s="128"/>
      <c r="Q55" s="128"/>
      <c r="R55" s="128"/>
      <c r="S55" s="128"/>
      <c r="T55" s="128"/>
      <c r="U55" s="95"/>
      <c r="V55" s="95"/>
      <c r="W55" s="95"/>
      <c r="X55" s="95"/>
      <c r="Y55" s="95"/>
    </row>
    <row r="56" spans="2:25" s="94" customFormat="1" ht="15" customHeight="1">
      <c r="B56" s="105" t="s">
        <v>114</v>
      </c>
      <c r="C56" s="105" t="s">
        <v>11</v>
      </c>
      <c r="D56" s="105" t="s">
        <v>12</v>
      </c>
      <c r="E56" s="337">
        <v>84.21</v>
      </c>
      <c r="F56" s="337">
        <v>72.7</v>
      </c>
      <c r="G56" s="337">
        <v>65.84</v>
      </c>
      <c r="H56" s="338">
        <v>68.3</v>
      </c>
      <c r="I56" s="337">
        <v>70.03</v>
      </c>
      <c r="J56" s="337">
        <v>83</v>
      </c>
      <c r="K56" s="337">
        <v>73.41</v>
      </c>
      <c r="L56" s="337">
        <v>70.89</v>
      </c>
      <c r="M56" s="337">
        <v>75.08</v>
      </c>
      <c r="N56" s="450"/>
      <c r="O56" s="450"/>
      <c r="P56" s="450"/>
      <c r="Q56" s="450"/>
      <c r="R56" s="450"/>
      <c r="S56" s="450"/>
      <c r="T56" s="450"/>
      <c r="U56" s="95"/>
      <c r="V56" s="95"/>
      <c r="W56" s="95"/>
      <c r="X56" s="95"/>
      <c r="Y56" s="95"/>
    </row>
    <row r="57" spans="2:25" s="94" customFormat="1" ht="15" customHeight="1">
      <c r="B57" s="105"/>
      <c r="C57" s="105"/>
      <c r="D57" s="105"/>
      <c r="E57" s="129"/>
      <c r="F57" s="129"/>
      <c r="G57" s="129"/>
      <c r="H57" s="129"/>
      <c r="I57" s="129"/>
      <c r="J57" s="129"/>
      <c r="K57" s="129"/>
      <c r="L57" s="129"/>
      <c r="M57" s="129"/>
      <c r="N57" s="129"/>
      <c r="O57" s="129"/>
      <c r="P57" s="129"/>
      <c r="Q57" s="129"/>
      <c r="R57" s="129"/>
      <c r="S57" s="129"/>
      <c r="T57" s="129"/>
      <c r="U57" s="95"/>
      <c r="V57" s="95"/>
      <c r="W57" s="95"/>
      <c r="X57" s="95"/>
      <c r="Y57" s="95"/>
    </row>
    <row r="58" spans="2:25" s="94" customFormat="1" ht="15" customHeight="1">
      <c r="B58" s="105" t="s">
        <v>93</v>
      </c>
      <c r="C58" s="105"/>
      <c r="D58" s="105" t="s">
        <v>117</v>
      </c>
      <c r="E58" s="337">
        <v>18.86</v>
      </c>
      <c r="F58" s="337">
        <v>17.14</v>
      </c>
      <c r="G58" s="337">
        <v>22.49</v>
      </c>
      <c r="H58" s="338">
        <v>26.9</v>
      </c>
      <c r="I58" s="337">
        <v>19.91</v>
      </c>
      <c r="J58" s="337">
        <v>19.600000000000001</v>
      </c>
      <c r="K58" s="337">
        <v>25.08</v>
      </c>
      <c r="L58" s="337">
        <v>35.380000000000003</v>
      </c>
      <c r="M58" s="337">
        <v>43.84</v>
      </c>
      <c r="N58" s="450"/>
      <c r="O58" s="450"/>
      <c r="P58" s="450"/>
      <c r="Q58" s="450"/>
      <c r="R58" s="450"/>
      <c r="S58" s="450"/>
      <c r="T58" s="450"/>
      <c r="U58" s="95"/>
      <c r="V58" s="95"/>
      <c r="W58" s="95"/>
      <c r="X58" s="95"/>
      <c r="Y58" s="95"/>
    </row>
    <row r="59" spans="2:25" ht="15" customHeight="1">
      <c r="B59" s="76" t="s">
        <v>115</v>
      </c>
      <c r="C59" s="76"/>
      <c r="D59" s="76" t="s">
        <v>117</v>
      </c>
      <c r="E59" s="494">
        <v>26.564399999999999</v>
      </c>
      <c r="F59" s="494">
        <v>26.4146</v>
      </c>
      <c r="G59" s="494">
        <v>28.58</v>
      </c>
      <c r="H59" s="494">
        <v>44.06</v>
      </c>
      <c r="I59" s="494">
        <v>29.91</v>
      </c>
      <c r="J59" s="494">
        <v>37.76</v>
      </c>
      <c r="K59" s="494">
        <v>42.56</v>
      </c>
      <c r="L59" s="494">
        <v>58.69</v>
      </c>
      <c r="M59" s="494">
        <v>91.83</v>
      </c>
      <c r="N59" s="556"/>
      <c r="O59" s="556"/>
      <c r="P59" s="556"/>
      <c r="Q59" s="556"/>
      <c r="R59" s="556"/>
      <c r="S59" s="556"/>
      <c r="T59" s="556"/>
    </row>
    <row r="60" spans="2:25" ht="15" customHeight="1">
      <c r="B60" s="76" t="s">
        <v>116</v>
      </c>
      <c r="C60" s="76"/>
      <c r="D60" s="76" t="s">
        <v>117</v>
      </c>
      <c r="E60" s="379">
        <f t="shared" ref="E60:M60" si="20">E58/E59</f>
        <v>0.70997274547891165</v>
      </c>
      <c r="F60" s="379">
        <f t="shared" si="20"/>
        <v>0.6488835719639896</v>
      </c>
      <c r="G60" s="379">
        <f t="shared" si="20"/>
        <v>0.78691392582225328</v>
      </c>
      <c r="H60" s="379">
        <f t="shared" si="20"/>
        <v>0.61053109396277794</v>
      </c>
      <c r="I60" s="379">
        <f t="shared" si="20"/>
        <v>0.66566365763958546</v>
      </c>
      <c r="J60" s="379">
        <f t="shared" si="20"/>
        <v>0.51906779661016955</v>
      </c>
      <c r="K60" s="379">
        <f t="shared" si="20"/>
        <v>0.58928571428571419</v>
      </c>
      <c r="L60" s="379">
        <f t="shared" si="20"/>
        <v>0.60282842051456809</v>
      </c>
      <c r="M60" s="379">
        <f t="shared" si="20"/>
        <v>0.47740389850811288</v>
      </c>
      <c r="N60" s="556"/>
      <c r="O60" s="556"/>
      <c r="P60" s="556"/>
      <c r="Q60" s="556"/>
      <c r="R60" s="556"/>
      <c r="S60" s="556"/>
      <c r="T60" s="556"/>
    </row>
    <row r="61" spans="2:25" s="94" customFormat="1" ht="15" customHeight="1">
      <c r="B61" s="105"/>
      <c r="C61" s="105"/>
      <c r="D61" s="105"/>
      <c r="E61" s="129"/>
      <c r="F61" s="129"/>
      <c r="G61" s="129"/>
      <c r="H61" s="129"/>
      <c r="I61" s="129"/>
      <c r="J61" s="129"/>
      <c r="K61" s="129"/>
      <c r="L61" s="129"/>
      <c r="M61" s="129"/>
      <c r="N61" s="129"/>
      <c r="O61" s="129"/>
      <c r="P61" s="129"/>
      <c r="Q61" s="129"/>
      <c r="R61" s="129"/>
      <c r="S61" s="129"/>
      <c r="T61" s="129"/>
      <c r="U61" s="95"/>
      <c r="V61" s="95"/>
      <c r="W61" s="95"/>
      <c r="X61" s="95"/>
      <c r="Y61" s="95"/>
    </row>
    <row r="62" spans="2:25" s="94" customFormat="1" ht="15" customHeight="1">
      <c r="B62" s="105" t="s">
        <v>118</v>
      </c>
      <c r="C62" s="105"/>
      <c r="D62" s="105" t="s">
        <v>52</v>
      </c>
      <c r="E62" s="337">
        <v>561.51</v>
      </c>
      <c r="F62" s="337">
        <v>456.01</v>
      </c>
      <c r="G62" s="337">
        <v>506.05</v>
      </c>
      <c r="H62" s="337">
        <v>622.4</v>
      </c>
      <c r="I62" s="337">
        <v>636.02</v>
      </c>
      <c r="J62" s="337">
        <v>402.83</v>
      </c>
      <c r="K62" s="337">
        <v>356.27</v>
      </c>
      <c r="L62" s="337">
        <v>629.32000000000005</v>
      </c>
      <c r="M62" s="337">
        <v>1094.1723630430113</v>
      </c>
      <c r="N62" s="450"/>
      <c r="O62" s="450"/>
      <c r="P62" s="450"/>
      <c r="Q62" s="450"/>
      <c r="R62" s="450"/>
      <c r="S62" s="450"/>
      <c r="T62" s="450"/>
      <c r="U62" s="95"/>
      <c r="V62" s="95"/>
      <c r="W62" s="95"/>
      <c r="X62" s="95"/>
      <c r="Y62" s="95"/>
    </row>
    <row r="63" spans="2:25" s="94" customFormat="1" ht="15" customHeight="1">
      <c r="B63" s="111"/>
      <c r="C63" s="111"/>
      <c r="D63" s="111"/>
      <c r="E63" s="112"/>
      <c r="F63" s="112"/>
      <c r="G63" s="112"/>
      <c r="H63" s="112"/>
      <c r="I63" s="112"/>
      <c r="J63" s="112"/>
      <c r="K63" s="112"/>
      <c r="L63" s="112"/>
      <c r="M63" s="112"/>
      <c r="N63" s="112"/>
      <c r="O63" s="112"/>
      <c r="P63" s="112"/>
      <c r="Q63" s="112"/>
      <c r="R63" s="112"/>
      <c r="S63" s="112"/>
      <c r="T63" s="112"/>
    </row>
    <row r="64" spans="2:25" ht="15" customHeight="1"/>
    <row r="65" spans="2:20" ht="15" customHeight="1">
      <c r="B65" s="302" t="s">
        <v>382</v>
      </c>
      <c r="C65" s="302"/>
      <c r="D65" s="302"/>
      <c r="E65" s="427"/>
      <c r="F65" s="303"/>
      <c r="G65" s="303"/>
      <c r="H65" s="303"/>
      <c r="I65" s="303"/>
      <c r="J65" s="303"/>
      <c r="K65" s="303"/>
      <c r="L65" s="303"/>
      <c r="M65" s="303"/>
      <c r="N65" s="303"/>
      <c r="O65" s="303"/>
      <c r="P65" s="303"/>
      <c r="Q65" s="303"/>
      <c r="R65" s="303"/>
      <c r="S65" s="303"/>
      <c r="T65" s="303"/>
    </row>
    <row r="66" spans="2:20" ht="15" customHeight="1"/>
    <row r="67" spans="2:20" ht="15" customHeight="1">
      <c r="B67" s="105" t="s">
        <v>89</v>
      </c>
      <c r="C67" s="105"/>
      <c r="D67" s="105" t="s">
        <v>10</v>
      </c>
      <c r="E67" s="337">
        <v>0.28999999999999998</v>
      </c>
      <c r="F67" s="337">
        <v>0.33</v>
      </c>
      <c r="G67" s="337">
        <v>0.74</v>
      </c>
      <c r="H67" s="337">
        <v>0.89</v>
      </c>
      <c r="I67" s="337">
        <v>0.61</v>
      </c>
      <c r="J67" s="337">
        <v>1.45</v>
      </c>
      <c r="K67" s="337">
        <v>0.89</v>
      </c>
      <c r="L67" s="337">
        <v>0</v>
      </c>
      <c r="M67" s="337">
        <v>0</v>
      </c>
      <c r="N67" s="450"/>
      <c r="O67" s="450"/>
      <c r="P67" s="450"/>
      <c r="Q67" s="450"/>
      <c r="R67" s="450"/>
      <c r="S67" s="450"/>
      <c r="T67" s="450"/>
    </row>
    <row r="68" spans="2:20" ht="15" customHeight="1">
      <c r="B68" s="105"/>
      <c r="C68" s="105"/>
      <c r="D68" s="105"/>
      <c r="E68" s="133"/>
      <c r="F68" s="133"/>
      <c r="G68" s="133"/>
      <c r="H68" s="133"/>
      <c r="I68" s="133"/>
      <c r="J68" s="133"/>
      <c r="K68" s="133"/>
      <c r="L68" s="133"/>
      <c r="M68" s="133"/>
      <c r="N68" s="133"/>
      <c r="O68" s="133"/>
      <c r="P68" s="133"/>
      <c r="Q68" s="133"/>
      <c r="R68" s="133"/>
      <c r="S68" s="133"/>
      <c r="T68" s="133"/>
    </row>
    <row r="69" spans="2:20" ht="15" customHeight="1">
      <c r="B69" s="105" t="s">
        <v>114</v>
      </c>
      <c r="C69" s="105"/>
      <c r="D69" s="105" t="s">
        <v>12</v>
      </c>
      <c r="E69" s="337">
        <v>5.53</v>
      </c>
      <c r="F69" s="337">
        <v>6.09</v>
      </c>
      <c r="G69" s="337">
        <v>4.67</v>
      </c>
      <c r="H69" s="337">
        <v>6.01</v>
      </c>
      <c r="I69" s="337">
        <v>5.92</v>
      </c>
      <c r="J69" s="337">
        <v>4</v>
      </c>
      <c r="K69" s="337">
        <v>2.6</v>
      </c>
      <c r="L69" s="337">
        <v>0</v>
      </c>
      <c r="M69" s="337">
        <v>0</v>
      </c>
      <c r="N69" s="450"/>
      <c r="O69" s="450"/>
      <c r="P69" s="450"/>
      <c r="Q69" s="450"/>
      <c r="R69" s="450"/>
      <c r="S69" s="450"/>
      <c r="T69" s="450"/>
    </row>
    <row r="70" spans="2:20" ht="15" customHeight="1">
      <c r="B70" s="111"/>
      <c r="C70" s="111"/>
      <c r="D70" s="111"/>
      <c r="E70" s="258"/>
      <c r="F70" s="258"/>
      <c r="G70" s="258"/>
      <c r="H70" s="258"/>
      <c r="I70" s="258"/>
      <c r="J70" s="258"/>
      <c r="K70" s="258"/>
      <c r="L70" s="258"/>
      <c r="M70" s="258"/>
      <c r="N70" s="258"/>
      <c r="O70" s="258"/>
      <c r="P70" s="258"/>
      <c r="Q70" s="258"/>
      <c r="R70" s="258"/>
      <c r="S70" s="258"/>
      <c r="T70" s="258"/>
    </row>
    <row r="71" spans="2:20" ht="15" customHeight="1">
      <c r="B71" s="105"/>
      <c r="C71" s="105"/>
      <c r="D71" s="105"/>
      <c r="E71" s="130"/>
      <c r="F71" s="130"/>
      <c r="G71" s="130"/>
      <c r="H71" s="130"/>
      <c r="I71" s="130"/>
      <c r="J71" s="130"/>
      <c r="K71" s="130"/>
      <c r="L71" s="130"/>
      <c r="M71" s="130"/>
      <c r="N71" s="130"/>
      <c r="O71" s="130"/>
      <c r="P71" s="130"/>
      <c r="Q71" s="130"/>
      <c r="R71" s="130"/>
      <c r="S71" s="130"/>
      <c r="T71" s="130"/>
    </row>
    <row r="72" spans="2:20" ht="15" customHeight="1">
      <c r="B72" s="302" t="s">
        <v>383</v>
      </c>
      <c r="C72" s="302"/>
      <c r="D72" s="302"/>
      <c r="E72" s="427"/>
      <c r="F72" s="303"/>
      <c r="G72" s="303"/>
      <c r="H72" s="303"/>
      <c r="I72" s="303"/>
      <c r="J72" s="303"/>
      <c r="K72" s="303"/>
      <c r="L72" s="303"/>
      <c r="M72" s="303"/>
      <c r="N72" s="303"/>
      <c r="O72" s="303"/>
      <c r="P72" s="303"/>
      <c r="Q72" s="303"/>
      <c r="R72" s="303"/>
      <c r="S72" s="303"/>
      <c r="T72" s="303"/>
    </row>
    <row r="73" spans="2:20" ht="15" customHeight="1">
      <c r="B73" s="105"/>
      <c r="C73" s="105"/>
      <c r="D73" s="105"/>
      <c r="E73" s="130"/>
      <c r="F73" s="130"/>
      <c r="G73" s="130"/>
      <c r="H73" s="130"/>
      <c r="I73" s="130"/>
      <c r="J73" s="130"/>
      <c r="K73" s="130"/>
      <c r="L73" s="130"/>
      <c r="M73" s="130"/>
      <c r="N73" s="130"/>
      <c r="O73" s="130"/>
      <c r="P73" s="130"/>
      <c r="Q73" s="130"/>
      <c r="R73" s="130"/>
      <c r="S73" s="130"/>
      <c r="T73" s="130"/>
    </row>
    <row r="74" spans="2:20" ht="15" customHeight="1">
      <c r="B74" s="105" t="s">
        <v>89</v>
      </c>
      <c r="C74" s="105" t="s">
        <v>9</v>
      </c>
      <c r="D74" s="105" t="s">
        <v>10</v>
      </c>
      <c r="E74" s="337">
        <f>E54+E67</f>
        <v>13.959999999999999</v>
      </c>
      <c r="F74" s="337">
        <f>F54+F67</f>
        <v>13.3</v>
      </c>
      <c r="G74" s="337">
        <f t="shared" ref="G74:O74" si="21">G54+G67</f>
        <v>11.41</v>
      </c>
      <c r="H74" s="337">
        <f t="shared" si="21"/>
        <v>10.47</v>
      </c>
      <c r="I74" s="337">
        <f t="shared" si="21"/>
        <v>10.51</v>
      </c>
      <c r="J74" s="337">
        <f>J54+J67</f>
        <v>10.45</v>
      </c>
      <c r="K74" s="337">
        <f>K54+K67</f>
        <v>10.06</v>
      </c>
      <c r="L74" s="337">
        <f>L54+L67</f>
        <v>10.29</v>
      </c>
      <c r="M74" s="337">
        <f t="shared" si="21"/>
        <v>12.46</v>
      </c>
      <c r="N74" s="450">
        <f t="shared" si="21"/>
        <v>0</v>
      </c>
      <c r="O74" s="450">
        <f t="shared" si="21"/>
        <v>0</v>
      </c>
      <c r="P74" s="450">
        <f>P54+P67</f>
        <v>0</v>
      </c>
      <c r="Q74" s="450">
        <f>Q54+Q67</f>
        <v>0</v>
      </c>
      <c r="R74" s="450">
        <f>R54+R67</f>
        <v>0</v>
      </c>
      <c r="S74" s="450">
        <f>S54+S67</f>
        <v>0</v>
      </c>
      <c r="T74" s="450">
        <f>T54+T67</f>
        <v>0</v>
      </c>
    </row>
    <row r="75" spans="2:20" ht="15" customHeight="1">
      <c r="B75" s="105"/>
      <c r="C75" s="105"/>
      <c r="D75" s="105"/>
      <c r="E75" s="130"/>
      <c r="F75" s="130"/>
      <c r="G75" s="130"/>
      <c r="H75" s="130"/>
      <c r="I75" s="130"/>
      <c r="J75" s="130"/>
      <c r="K75" s="130"/>
      <c r="L75" s="130"/>
      <c r="M75" s="130"/>
      <c r="N75" s="130"/>
      <c r="O75" s="130"/>
      <c r="P75" s="130"/>
      <c r="Q75" s="130"/>
      <c r="R75" s="130"/>
      <c r="S75" s="130"/>
      <c r="T75" s="130"/>
    </row>
    <row r="76" spans="2:20" ht="15" customHeight="1">
      <c r="B76" s="105" t="s">
        <v>114</v>
      </c>
      <c r="C76" s="105" t="s">
        <v>11</v>
      </c>
      <c r="D76" s="105" t="s">
        <v>12</v>
      </c>
      <c r="E76" s="337">
        <f>E56+E69</f>
        <v>89.74</v>
      </c>
      <c r="F76" s="337">
        <f>F56+F69</f>
        <v>78.790000000000006</v>
      </c>
      <c r="G76" s="337">
        <f t="shared" ref="G76:O76" si="22">G56+G69</f>
        <v>70.510000000000005</v>
      </c>
      <c r="H76" s="337">
        <f>H56+H69</f>
        <v>74.31</v>
      </c>
      <c r="I76" s="337">
        <f>I56+I69</f>
        <v>75.95</v>
      </c>
      <c r="J76" s="337">
        <f t="shared" si="22"/>
        <v>87</v>
      </c>
      <c r="K76" s="337">
        <f t="shared" si="22"/>
        <v>76.009999999999991</v>
      </c>
      <c r="L76" s="337">
        <f>L56+L69</f>
        <v>70.89</v>
      </c>
      <c r="M76" s="337">
        <f t="shared" si="22"/>
        <v>75.08</v>
      </c>
      <c r="N76" s="450">
        <f t="shared" si="22"/>
        <v>0</v>
      </c>
      <c r="O76" s="450">
        <f t="shared" si="22"/>
        <v>0</v>
      </c>
      <c r="P76" s="450">
        <f>P56+P69</f>
        <v>0</v>
      </c>
      <c r="Q76" s="450">
        <f>Q56+Q69</f>
        <v>0</v>
      </c>
      <c r="R76" s="450">
        <f>R56+R69</f>
        <v>0</v>
      </c>
      <c r="S76" s="450">
        <f>S56+S69</f>
        <v>0</v>
      </c>
      <c r="T76" s="450">
        <f>T56+T69</f>
        <v>0</v>
      </c>
    </row>
    <row r="77" spans="2:20" ht="15" customHeight="1">
      <c r="B77" s="105"/>
      <c r="C77" s="105"/>
      <c r="D77" s="105"/>
      <c r="E77" s="130"/>
      <c r="F77" s="130"/>
      <c r="G77" s="130"/>
      <c r="H77" s="130"/>
      <c r="I77" s="130"/>
      <c r="J77" s="130"/>
      <c r="K77" s="130"/>
      <c r="L77" s="130"/>
      <c r="M77" s="130"/>
      <c r="N77" s="130"/>
      <c r="O77" s="130"/>
      <c r="P77" s="130"/>
      <c r="Q77" s="130"/>
      <c r="R77" s="130"/>
      <c r="S77" s="130"/>
      <c r="T77" s="130"/>
    </row>
    <row r="78" spans="2:20" ht="15" customHeight="1">
      <c r="B78" s="105" t="s">
        <v>93</v>
      </c>
      <c r="C78" s="105"/>
      <c r="D78" s="105" t="s">
        <v>117</v>
      </c>
      <c r="E78" s="337">
        <f>E58</f>
        <v>18.86</v>
      </c>
      <c r="F78" s="337">
        <f t="shared" ref="F78:O78" si="23">F58</f>
        <v>17.14</v>
      </c>
      <c r="G78" s="337">
        <f t="shared" si="23"/>
        <v>22.49</v>
      </c>
      <c r="H78" s="337">
        <f t="shared" si="23"/>
        <v>26.9</v>
      </c>
      <c r="I78" s="337">
        <f>I58</f>
        <v>19.91</v>
      </c>
      <c r="J78" s="337">
        <f>J58</f>
        <v>19.600000000000001</v>
      </c>
      <c r="K78" s="337">
        <f t="shared" si="23"/>
        <v>25.08</v>
      </c>
      <c r="L78" s="337">
        <f t="shared" si="23"/>
        <v>35.380000000000003</v>
      </c>
      <c r="M78" s="337">
        <f t="shared" si="23"/>
        <v>43.84</v>
      </c>
      <c r="N78" s="450">
        <f t="shared" si="23"/>
        <v>0</v>
      </c>
      <c r="O78" s="450">
        <f t="shared" si="23"/>
        <v>0</v>
      </c>
      <c r="P78" s="450">
        <f>P58</f>
        <v>0</v>
      </c>
      <c r="Q78" s="450">
        <f>Q58</f>
        <v>0</v>
      </c>
      <c r="R78" s="450">
        <f>R58</f>
        <v>0</v>
      </c>
      <c r="S78" s="450">
        <f>S58</f>
        <v>0</v>
      </c>
      <c r="T78" s="450">
        <f>T58</f>
        <v>0</v>
      </c>
    </row>
    <row r="79" spans="2:20" ht="15" customHeight="1">
      <c r="B79" s="105"/>
      <c r="C79" s="105"/>
      <c r="D79" s="105"/>
      <c r="E79" s="130"/>
      <c r="F79" s="130"/>
      <c r="G79" s="130"/>
      <c r="H79" s="130"/>
      <c r="I79" s="130"/>
      <c r="J79" s="130"/>
      <c r="K79" s="130"/>
      <c r="L79" s="130"/>
      <c r="M79" s="130"/>
      <c r="N79" s="130"/>
      <c r="O79" s="130"/>
      <c r="P79" s="130"/>
      <c r="Q79" s="130"/>
      <c r="R79" s="130"/>
      <c r="S79" s="130"/>
      <c r="T79" s="130"/>
    </row>
    <row r="80" spans="2:20" ht="15" customHeight="1">
      <c r="B80" s="105" t="s">
        <v>118</v>
      </c>
      <c r="C80" s="105"/>
      <c r="D80" s="105" t="s">
        <v>52</v>
      </c>
      <c r="E80" s="337">
        <f t="shared" ref="E80:T80" si="24">E62</f>
        <v>561.51</v>
      </c>
      <c r="F80" s="337">
        <f t="shared" si="24"/>
        <v>456.01</v>
      </c>
      <c r="G80" s="337">
        <f t="shared" si="24"/>
        <v>506.05</v>
      </c>
      <c r="H80" s="337">
        <f t="shared" si="24"/>
        <v>622.4</v>
      </c>
      <c r="I80" s="337">
        <f t="shared" si="24"/>
        <v>636.02</v>
      </c>
      <c r="J80" s="337">
        <f>J62</f>
        <v>402.83</v>
      </c>
      <c r="K80" s="337">
        <f t="shared" si="24"/>
        <v>356.27</v>
      </c>
      <c r="L80" s="337">
        <f t="shared" si="24"/>
        <v>629.32000000000005</v>
      </c>
      <c r="M80" s="337">
        <f t="shared" si="24"/>
        <v>1094.1723630430113</v>
      </c>
      <c r="N80" s="450">
        <f t="shared" si="24"/>
        <v>0</v>
      </c>
      <c r="O80" s="450">
        <f t="shared" si="24"/>
        <v>0</v>
      </c>
      <c r="P80" s="450">
        <f t="shared" si="24"/>
        <v>0</v>
      </c>
      <c r="Q80" s="450">
        <f t="shared" si="24"/>
        <v>0</v>
      </c>
      <c r="R80" s="450">
        <f t="shared" si="24"/>
        <v>0</v>
      </c>
      <c r="S80" s="450">
        <f t="shared" si="24"/>
        <v>0</v>
      </c>
      <c r="T80" s="450">
        <f t="shared" si="24"/>
        <v>0</v>
      </c>
    </row>
    <row r="81" spans="1:20" ht="15" customHeight="1">
      <c r="B81" s="113"/>
      <c r="C81" s="113"/>
      <c r="D81" s="113"/>
      <c r="E81" s="113"/>
      <c r="F81" s="113"/>
      <c r="G81" s="113"/>
      <c r="H81" s="113"/>
      <c r="I81" s="113"/>
      <c r="J81" s="113"/>
      <c r="K81" s="113"/>
      <c r="L81" s="113"/>
      <c r="M81" s="113"/>
      <c r="N81" s="113"/>
      <c r="O81" s="113"/>
      <c r="P81" s="113"/>
      <c r="Q81" s="113"/>
      <c r="R81" s="113"/>
      <c r="S81" s="113"/>
      <c r="T81" s="113"/>
    </row>
    <row r="82" spans="1:20" ht="15" customHeight="1"/>
    <row r="83" spans="1:20" ht="15" customHeight="1">
      <c r="B83" s="302" t="s">
        <v>368</v>
      </c>
      <c r="C83" s="302"/>
      <c r="D83" s="302"/>
      <c r="E83" s="303"/>
      <c r="F83" s="303"/>
      <c r="G83" s="303"/>
      <c r="H83" s="303"/>
      <c r="I83" s="303"/>
      <c r="J83" s="303"/>
      <c r="K83" s="303"/>
      <c r="L83" s="303"/>
      <c r="M83" s="303"/>
      <c r="N83" s="303"/>
      <c r="O83" s="303"/>
      <c r="P83" s="303"/>
      <c r="Q83" s="303"/>
      <c r="R83" s="303"/>
      <c r="S83" s="303"/>
      <c r="T83" s="303"/>
    </row>
    <row r="84" spans="1:20" ht="15" customHeight="1"/>
    <row r="85" spans="1:20" ht="15" customHeight="1">
      <c r="B85" s="105" t="s">
        <v>89</v>
      </c>
      <c r="C85" s="105"/>
      <c r="D85" s="300" t="s">
        <v>21</v>
      </c>
      <c r="E85" s="428">
        <v>1</v>
      </c>
      <c r="F85" s="428">
        <v>1</v>
      </c>
      <c r="G85" s="428">
        <v>1</v>
      </c>
      <c r="H85" s="428">
        <v>1</v>
      </c>
      <c r="I85" s="428">
        <v>1</v>
      </c>
      <c r="J85" s="428">
        <v>1</v>
      </c>
      <c r="K85" s="428">
        <v>1</v>
      </c>
      <c r="L85" s="428">
        <v>1</v>
      </c>
      <c r="M85" s="428">
        <v>1</v>
      </c>
      <c r="N85" s="451"/>
      <c r="O85" s="451"/>
      <c r="P85" s="451"/>
      <c r="Q85" s="451"/>
      <c r="R85" s="451"/>
      <c r="S85" s="451"/>
      <c r="T85" s="451"/>
    </row>
    <row r="86" spans="1:20" ht="15" customHeight="1">
      <c r="B86" s="105"/>
      <c r="C86" s="105"/>
      <c r="D86" s="300"/>
      <c r="E86" s="393"/>
      <c r="F86" s="393"/>
      <c r="G86" s="393"/>
      <c r="H86" s="393"/>
      <c r="I86" s="393"/>
      <c r="J86" s="393"/>
      <c r="K86" s="393"/>
      <c r="L86" s="393"/>
      <c r="M86" s="393"/>
      <c r="N86" s="393"/>
      <c r="O86" s="393"/>
      <c r="P86" s="393"/>
      <c r="Q86" s="393"/>
      <c r="R86" s="393"/>
      <c r="S86" s="393"/>
      <c r="T86" s="393"/>
    </row>
    <row r="87" spans="1:20" ht="15" customHeight="1">
      <c r="B87" s="105" t="s">
        <v>114</v>
      </c>
      <c r="C87" s="105"/>
      <c r="D87" s="300" t="s">
        <v>21</v>
      </c>
      <c r="E87" s="428">
        <v>1</v>
      </c>
      <c r="F87" s="428">
        <v>1</v>
      </c>
      <c r="G87" s="428">
        <v>1</v>
      </c>
      <c r="H87" s="428">
        <v>1</v>
      </c>
      <c r="I87" s="428">
        <v>1</v>
      </c>
      <c r="J87" s="428">
        <v>1</v>
      </c>
      <c r="K87" s="428">
        <v>1</v>
      </c>
      <c r="L87" s="428">
        <v>1</v>
      </c>
      <c r="M87" s="428">
        <v>1</v>
      </c>
      <c r="N87" s="451"/>
      <c r="O87" s="451"/>
      <c r="P87" s="451"/>
      <c r="Q87" s="451"/>
      <c r="R87" s="451"/>
      <c r="S87" s="451"/>
      <c r="T87" s="451"/>
    </row>
    <row r="88" spans="1:20" ht="15" customHeight="1">
      <c r="B88" s="105"/>
      <c r="C88" s="105"/>
      <c r="D88" s="300"/>
      <c r="E88" s="393"/>
      <c r="F88" s="393"/>
      <c r="G88" s="393"/>
      <c r="H88" s="393"/>
      <c r="I88" s="393"/>
      <c r="J88" s="393"/>
      <c r="K88" s="393"/>
      <c r="L88" s="393"/>
      <c r="M88" s="393"/>
      <c r="N88" s="393"/>
      <c r="O88" s="393"/>
      <c r="P88" s="393"/>
      <c r="Q88" s="393"/>
      <c r="R88" s="393"/>
      <c r="S88" s="393"/>
      <c r="T88" s="393"/>
    </row>
    <row r="89" spans="1:20" ht="15" customHeight="1">
      <c r="B89" s="105" t="s">
        <v>93</v>
      </c>
      <c r="C89" s="105"/>
      <c r="D89" s="300" t="s">
        <v>21</v>
      </c>
      <c r="E89" s="428">
        <v>1</v>
      </c>
      <c r="F89" s="428">
        <v>1</v>
      </c>
      <c r="G89" s="428">
        <v>1</v>
      </c>
      <c r="H89" s="428">
        <v>1</v>
      </c>
      <c r="I89" s="428">
        <v>1</v>
      </c>
      <c r="J89" s="428">
        <v>1</v>
      </c>
      <c r="K89" s="428">
        <v>1</v>
      </c>
      <c r="L89" s="428">
        <v>1</v>
      </c>
      <c r="M89" s="428">
        <v>1</v>
      </c>
      <c r="N89" s="451"/>
      <c r="O89" s="451"/>
      <c r="P89" s="451"/>
      <c r="Q89" s="451"/>
      <c r="R89" s="451"/>
      <c r="S89" s="451"/>
      <c r="T89" s="451"/>
    </row>
    <row r="90" spans="1:20" ht="15" customHeight="1">
      <c r="B90" s="105"/>
      <c r="C90" s="105"/>
      <c r="D90" s="300"/>
      <c r="E90" s="393"/>
      <c r="F90" s="393"/>
      <c r="G90" s="393"/>
      <c r="H90" s="393"/>
      <c r="I90" s="393"/>
      <c r="J90" s="393"/>
      <c r="K90" s="393"/>
      <c r="L90" s="393"/>
      <c r="M90" s="393"/>
      <c r="N90" s="393"/>
      <c r="O90" s="393"/>
      <c r="P90" s="393"/>
      <c r="Q90" s="393"/>
      <c r="R90" s="393"/>
      <c r="S90" s="393"/>
      <c r="T90" s="393"/>
    </row>
    <row r="91" spans="1:20" ht="15" customHeight="1">
      <c r="B91" s="105" t="s">
        <v>118</v>
      </c>
      <c r="C91" s="105"/>
      <c r="D91" s="300" t="s">
        <v>21</v>
      </c>
      <c r="E91" s="428">
        <v>1</v>
      </c>
      <c r="F91" s="428">
        <v>1</v>
      </c>
      <c r="G91" s="428">
        <v>1</v>
      </c>
      <c r="H91" s="428">
        <v>1</v>
      </c>
      <c r="I91" s="428">
        <v>1</v>
      </c>
      <c r="J91" s="428">
        <v>1</v>
      </c>
      <c r="K91" s="428">
        <v>1</v>
      </c>
      <c r="L91" s="428">
        <v>1</v>
      </c>
      <c r="M91" s="428">
        <v>1</v>
      </c>
      <c r="N91" s="451"/>
      <c r="O91" s="451"/>
      <c r="P91" s="451"/>
      <c r="Q91" s="451"/>
      <c r="R91" s="451"/>
      <c r="S91" s="451"/>
      <c r="T91" s="451"/>
    </row>
    <row r="92" spans="1:20" ht="15" customHeight="1">
      <c r="B92" s="111"/>
      <c r="C92" s="111"/>
      <c r="D92" s="111"/>
      <c r="E92" s="258"/>
      <c r="F92" s="258"/>
      <c r="G92" s="258"/>
      <c r="H92" s="258"/>
      <c r="I92" s="258"/>
      <c r="J92" s="258"/>
      <c r="K92" s="258"/>
      <c r="L92" s="258"/>
      <c r="M92" s="258"/>
      <c r="N92" s="258"/>
      <c r="O92" s="258"/>
      <c r="P92" s="258"/>
      <c r="Q92" s="258"/>
      <c r="R92" s="258"/>
      <c r="S92" s="258"/>
      <c r="T92" s="258"/>
    </row>
    <row r="93" spans="1:20" ht="15" customHeight="1"/>
    <row r="94" spans="1:20" ht="15" customHeight="1">
      <c r="A94" s="527"/>
      <c r="B94" s="302" t="s">
        <v>380</v>
      </c>
      <c r="C94" s="302"/>
      <c r="D94" s="302"/>
      <c r="E94" s="427"/>
      <c r="F94" s="303"/>
      <c r="G94" s="303"/>
      <c r="H94" s="303"/>
      <c r="I94" s="303"/>
      <c r="J94" s="303"/>
      <c r="K94" s="303"/>
      <c r="L94" s="303"/>
      <c r="M94" s="303"/>
      <c r="N94" s="303"/>
      <c r="O94" s="303"/>
      <c r="P94" s="303"/>
      <c r="Q94" s="303"/>
      <c r="R94" s="303"/>
      <c r="S94" s="303"/>
      <c r="T94" s="303"/>
    </row>
    <row r="95" spans="1:20" ht="15" customHeight="1">
      <c r="A95" s="527"/>
    </row>
    <row r="96" spans="1:20" ht="15" customHeight="1">
      <c r="A96" s="527"/>
      <c r="B96" s="105" t="s">
        <v>89</v>
      </c>
      <c r="C96" s="105" t="s">
        <v>9</v>
      </c>
      <c r="D96" s="105" t="s">
        <v>10</v>
      </c>
      <c r="E96" s="337">
        <v>13.89</v>
      </c>
      <c r="F96" s="337">
        <v>13.31</v>
      </c>
      <c r="G96" s="337">
        <v>11.38</v>
      </c>
      <c r="H96" s="337">
        <v>10.5</v>
      </c>
      <c r="I96" s="337">
        <v>10.51</v>
      </c>
      <c r="J96" s="337">
        <v>10.76</v>
      </c>
      <c r="K96" s="337">
        <v>10.06</v>
      </c>
      <c r="L96" s="337">
        <v>10.29</v>
      </c>
      <c r="M96" s="337">
        <v>12.46</v>
      </c>
      <c r="N96" s="450"/>
      <c r="O96" s="450"/>
      <c r="P96" s="450"/>
      <c r="Q96" s="450"/>
      <c r="R96" s="450"/>
      <c r="S96" s="450"/>
      <c r="T96" s="450"/>
    </row>
    <row r="97" spans="1:20" ht="15" customHeight="1">
      <c r="A97" s="527"/>
      <c r="B97" s="105"/>
      <c r="C97" s="105"/>
      <c r="D97" s="105"/>
      <c r="E97" s="130"/>
      <c r="F97" s="130"/>
      <c r="G97" s="130"/>
      <c r="H97" s="130"/>
      <c r="I97" s="130"/>
      <c r="J97" s="130"/>
      <c r="K97" s="130"/>
      <c r="L97" s="130"/>
      <c r="M97" s="130"/>
      <c r="N97" s="130"/>
      <c r="O97" s="130"/>
      <c r="P97" s="130"/>
      <c r="Q97" s="130"/>
      <c r="R97" s="130"/>
      <c r="S97" s="130"/>
      <c r="T97" s="130"/>
    </row>
    <row r="98" spans="1:20" ht="15" customHeight="1">
      <c r="A98" s="527"/>
      <c r="B98" s="105" t="s">
        <v>114</v>
      </c>
      <c r="C98" s="105" t="s">
        <v>11</v>
      </c>
      <c r="D98" s="105" t="s">
        <v>12</v>
      </c>
      <c r="E98" s="337">
        <v>88.55</v>
      </c>
      <c r="F98" s="337">
        <v>85.6</v>
      </c>
      <c r="G98" s="337">
        <v>70.900000000000006</v>
      </c>
      <c r="H98" s="337">
        <v>70.400000000000006</v>
      </c>
      <c r="I98" s="337">
        <v>76.36</v>
      </c>
      <c r="J98" s="337">
        <v>79.48</v>
      </c>
      <c r="K98" s="337">
        <v>76.010000000000005</v>
      </c>
      <c r="L98" s="337">
        <v>70.89</v>
      </c>
      <c r="M98" s="337">
        <v>75.08</v>
      </c>
      <c r="N98" s="450"/>
      <c r="O98" s="450"/>
      <c r="P98" s="450"/>
      <c r="Q98" s="450"/>
      <c r="R98" s="450"/>
      <c r="S98" s="450"/>
      <c r="T98" s="450"/>
    </row>
    <row r="99" spans="1:20" ht="15" customHeight="1">
      <c r="A99" s="527"/>
      <c r="B99" s="105"/>
      <c r="C99" s="105"/>
      <c r="D99" s="105"/>
      <c r="E99" s="130"/>
      <c r="F99" s="130"/>
      <c r="G99" s="130"/>
      <c r="H99" s="130"/>
      <c r="I99" s="130"/>
      <c r="J99" s="130"/>
      <c r="K99" s="130"/>
      <c r="L99" s="130"/>
      <c r="M99" s="130"/>
      <c r="N99" s="130"/>
      <c r="O99" s="130"/>
      <c r="P99" s="130"/>
      <c r="Q99" s="130"/>
      <c r="R99" s="130"/>
      <c r="S99" s="130"/>
      <c r="T99" s="130"/>
    </row>
    <row r="100" spans="1:20" ht="15" customHeight="1">
      <c r="A100" s="527"/>
      <c r="B100" s="105" t="s">
        <v>93</v>
      </c>
      <c r="C100" s="105"/>
      <c r="D100" s="105" t="s">
        <v>117</v>
      </c>
      <c r="E100" s="337">
        <v>18.63</v>
      </c>
      <c r="F100" s="337">
        <v>17.14</v>
      </c>
      <c r="G100" s="337">
        <v>22.49</v>
      </c>
      <c r="H100" s="337">
        <v>26.9</v>
      </c>
      <c r="I100" s="337">
        <v>19.91</v>
      </c>
      <c r="J100" s="337">
        <v>19.63</v>
      </c>
      <c r="K100" s="337">
        <v>25.08</v>
      </c>
      <c r="L100" s="337">
        <v>35.380000000000003</v>
      </c>
      <c r="M100" s="337">
        <v>43.84</v>
      </c>
      <c r="N100" s="450"/>
      <c r="O100" s="450"/>
      <c r="P100" s="450"/>
      <c r="Q100" s="450"/>
      <c r="R100" s="450"/>
      <c r="S100" s="450"/>
      <c r="T100" s="450"/>
    </row>
    <row r="101" spans="1:20" ht="15" customHeight="1">
      <c r="A101" s="527"/>
      <c r="B101" s="105"/>
      <c r="C101" s="105"/>
      <c r="D101" s="105"/>
      <c r="E101" s="130"/>
      <c r="F101" s="130"/>
      <c r="G101" s="130"/>
      <c r="H101" s="130"/>
      <c r="I101" s="130"/>
      <c r="J101" s="130"/>
      <c r="K101" s="130"/>
      <c r="L101" s="130"/>
      <c r="M101" s="130"/>
      <c r="N101" s="130"/>
      <c r="O101" s="130"/>
      <c r="P101" s="130"/>
      <c r="Q101" s="130"/>
      <c r="R101" s="130"/>
      <c r="S101" s="130"/>
      <c r="T101" s="130"/>
    </row>
    <row r="102" spans="1:20" ht="15" customHeight="1">
      <c r="A102" s="527"/>
      <c r="B102" s="105" t="s">
        <v>118</v>
      </c>
      <c r="C102" s="105"/>
      <c r="D102" s="105" t="s">
        <v>52</v>
      </c>
      <c r="E102" s="337">
        <v>551.99</v>
      </c>
      <c r="F102" s="337">
        <v>456.01</v>
      </c>
      <c r="G102" s="337">
        <v>506.05</v>
      </c>
      <c r="H102" s="337">
        <v>622.4</v>
      </c>
      <c r="I102" s="337">
        <v>636.02</v>
      </c>
      <c r="J102" s="337">
        <v>402.83</v>
      </c>
      <c r="K102" s="337">
        <v>356.27</v>
      </c>
      <c r="L102" s="337">
        <v>629.32000000000005</v>
      </c>
      <c r="M102" s="337">
        <v>1094.1723630430113</v>
      </c>
      <c r="N102" s="450"/>
      <c r="O102" s="450"/>
      <c r="P102" s="450"/>
      <c r="Q102" s="450"/>
      <c r="R102" s="450"/>
      <c r="S102" s="450"/>
      <c r="T102" s="450"/>
    </row>
    <row r="103" spans="1:20" ht="15" customHeight="1">
      <c r="B103" s="113"/>
      <c r="C103" s="113"/>
      <c r="D103" s="113"/>
      <c r="E103" s="113"/>
      <c r="F103" s="113"/>
      <c r="G103" s="113"/>
      <c r="H103" s="113"/>
      <c r="I103" s="113"/>
      <c r="J103" s="113"/>
      <c r="K103" s="113"/>
      <c r="L103" s="113"/>
      <c r="M103" s="113"/>
      <c r="N103" s="113"/>
      <c r="O103" s="113"/>
      <c r="P103" s="113"/>
      <c r="Q103" s="113"/>
      <c r="R103" s="113"/>
      <c r="S103" s="113"/>
      <c r="T103" s="113"/>
    </row>
    <row r="104" spans="1:20" ht="15" customHeight="1"/>
    <row r="105" spans="1:20" ht="15" customHeight="1">
      <c r="B105" s="302" t="s">
        <v>119</v>
      </c>
      <c r="C105" s="302"/>
      <c r="D105" s="302"/>
      <c r="E105" s="427"/>
      <c r="F105" s="303"/>
      <c r="G105" s="303"/>
      <c r="H105" s="303"/>
      <c r="I105" s="303"/>
      <c r="J105" s="303"/>
      <c r="K105" s="303"/>
      <c r="L105" s="303"/>
      <c r="M105" s="303"/>
      <c r="N105" s="303"/>
      <c r="O105" s="303"/>
      <c r="P105" s="303"/>
      <c r="Q105" s="303"/>
      <c r="R105" s="303"/>
      <c r="S105" s="303"/>
      <c r="T105" s="303"/>
    </row>
    <row r="106" spans="1:20" ht="15" customHeight="1"/>
    <row r="107" spans="1:20" ht="15" customHeight="1">
      <c r="B107" s="105" t="s">
        <v>89</v>
      </c>
      <c r="C107" s="105" t="s">
        <v>9</v>
      </c>
      <c r="D107" s="105" t="s">
        <v>10</v>
      </c>
      <c r="E107" s="337">
        <f t="shared" ref="E107:T107" si="25">((E74*(100%-E85))+(E96*E85))</f>
        <v>13.89</v>
      </c>
      <c r="F107" s="337">
        <f t="shared" si="25"/>
        <v>13.31</v>
      </c>
      <c r="G107" s="337">
        <f t="shared" si="25"/>
        <v>11.38</v>
      </c>
      <c r="H107" s="337">
        <f t="shared" si="25"/>
        <v>10.5</v>
      </c>
      <c r="I107" s="337">
        <f t="shared" si="25"/>
        <v>10.51</v>
      </c>
      <c r="J107" s="337">
        <f t="shared" si="25"/>
        <v>10.76</v>
      </c>
      <c r="K107" s="337">
        <f t="shared" si="25"/>
        <v>10.06</v>
      </c>
      <c r="L107" s="337">
        <f t="shared" ref="L107:M107" si="26">((L74*(100%-L85))+(L96*L85))</f>
        <v>10.29</v>
      </c>
      <c r="M107" s="337">
        <f t="shared" si="26"/>
        <v>12.46</v>
      </c>
      <c r="N107" s="450">
        <f t="shared" si="25"/>
        <v>0</v>
      </c>
      <c r="O107" s="450">
        <f t="shared" si="25"/>
        <v>0</v>
      </c>
      <c r="P107" s="450">
        <f t="shared" si="25"/>
        <v>0</v>
      </c>
      <c r="Q107" s="450">
        <f t="shared" si="25"/>
        <v>0</v>
      </c>
      <c r="R107" s="450">
        <f t="shared" si="25"/>
        <v>0</v>
      </c>
      <c r="S107" s="450">
        <f t="shared" si="25"/>
        <v>0</v>
      </c>
      <c r="T107" s="450">
        <f t="shared" si="25"/>
        <v>0</v>
      </c>
    </row>
    <row r="108" spans="1:20" ht="15" customHeight="1">
      <c r="B108" s="105"/>
      <c r="C108" s="105"/>
      <c r="D108" s="105"/>
      <c r="E108" s="130"/>
      <c r="F108" s="130"/>
      <c r="G108" s="130"/>
      <c r="H108" s="130"/>
      <c r="I108" s="130"/>
      <c r="J108" s="130"/>
      <c r="K108" s="130"/>
      <c r="L108" s="130"/>
      <c r="M108" s="130"/>
      <c r="N108" s="130"/>
      <c r="O108" s="130"/>
      <c r="P108" s="130"/>
      <c r="Q108" s="130"/>
      <c r="R108" s="130"/>
      <c r="S108" s="130"/>
      <c r="T108" s="130"/>
    </row>
    <row r="109" spans="1:20" ht="15" customHeight="1">
      <c r="B109" s="105" t="s">
        <v>118</v>
      </c>
      <c r="C109" s="105" t="s">
        <v>11</v>
      </c>
      <c r="D109" s="105" t="s">
        <v>12</v>
      </c>
      <c r="E109" s="337">
        <f t="shared" ref="E109:T109" si="27">((E76*(100%-E87))+(E98*E87))</f>
        <v>88.55</v>
      </c>
      <c r="F109" s="337">
        <f t="shared" si="27"/>
        <v>85.6</v>
      </c>
      <c r="G109" s="337">
        <f t="shared" si="27"/>
        <v>70.900000000000006</v>
      </c>
      <c r="H109" s="337">
        <f t="shared" si="27"/>
        <v>70.400000000000006</v>
      </c>
      <c r="I109" s="337">
        <f t="shared" si="27"/>
        <v>76.36</v>
      </c>
      <c r="J109" s="337">
        <f t="shared" si="27"/>
        <v>79.48</v>
      </c>
      <c r="K109" s="337">
        <f>((K76*(100%-K87))+(K98*K87))</f>
        <v>76.010000000000005</v>
      </c>
      <c r="L109" s="337">
        <f>((L76*(100%-L87))+(L98*L87))</f>
        <v>70.89</v>
      </c>
      <c r="M109" s="337">
        <f t="shared" si="27"/>
        <v>75.08</v>
      </c>
      <c r="N109" s="450">
        <f t="shared" si="27"/>
        <v>0</v>
      </c>
      <c r="O109" s="450">
        <f t="shared" si="27"/>
        <v>0</v>
      </c>
      <c r="P109" s="450">
        <f t="shared" si="27"/>
        <v>0</v>
      </c>
      <c r="Q109" s="450">
        <f t="shared" si="27"/>
        <v>0</v>
      </c>
      <c r="R109" s="450">
        <f t="shared" si="27"/>
        <v>0</v>
      </c>
      <c r="S109" s="450">
        <f t="shared" si="27"/>
        <v>0</v>
      </c>
      <c r="T109" s="450">
        <f t="shared" si="27"/>
        <v>0</v>
      </c>
    </row>
    <row r="110" spans="1:20" ht="15" customHeight="1">
      <c r="B110" s="105"/>
      <c r="C110" s="105"/>
      <c r="D110" s="105"/>
      <c r="E110" s="130"/>
      <c r="F110" s="130"/>
      <c r="G110" s="130"/>
      <c r="H110" s="130"/>
      <c r="I110" s="130"/>
      <c r="J110" s="130"/>
      <c r="K110" s="130"/>
      <c r="L110" s="130"/>
      <c r="M110" s="130"/>
      <c r="N110" s="130"/>
      <c r="O110" s="130"/>
      <c r="P110" s="130"/>
      <c r="Q110" s="130"/>
      <c r="R110" s="130"/>
      <c r="S110" s="130"/>
      <c r="T110" s="130"/>
    </row>
    <row r="111" spans="1:20" ht="15" customHeight="1">
      <c r="B111" s="105" t="s">
        <v>93</v>
      </c>
      <c r="C111" s="105"/>
      <c r="D111" s="105" t="s">
        <v>117</v>
      </c>
      <c r="E111" s="337">
        <f t="shared" ref="E111:T111" si="28">((E78*(100%-E89))+(E100*E89))</f>
        <v>18.63</v>
      </c>
      <c r="F111" s="337">
        <f t="shared" si="28"/>
        <v>17.14</v>
      </c>
      <c r="G111" s="337">
        <f t="shared" si="28"/>
        <v>22.49</v>
      </c>
      <c r="H111" s="337">
        <f t="shared" si="28"/>
        <v>26.9</v>
      </c>
      <c r="I111" s="337">
        <f t="shared" si="28"/>
        <v>19.91</v>
      </c>
      <c r="J111" s="337">
        <f t="shared" si="28"/>
        <v>19.63</v>
      </c>
      <c r="K111" s="337">
        <f t="shared" si="28"/>
        <v>25.08</v>
      </c>
      <c r="L111" s="337">
        <f t="shared" ref="L111" si="29">((L78*(100%-L89))+(L100*L89))</f>
        <v>35.380000000000003</v>
      </c>
      <c r="M111" s="337">
        <f t="shared" si="28"/>
        <v>43.84</v>
      </c>
      <c r="N111" s="450">
        <f t="shared" si="28"/>
        <v>0</v>
      </c>
      <c r="O111" s="450">
        <f t="shared" si="28"/>
        <v>0</v>
      </c>
      <c r="P111" s="450">
        <f t="shared" si="28"/>
        <v>0</v>
      </c>
      <c r="Q111" s="450">
        <f t="shared" si="28"/>
        <v>0</v>
      </c>
      <c r="R111" s="450">
        <f t="shared" si="28"/>
        <v>0</v>
      </c>
      <c r="S111" s="450">
        <f t="shared" si="28"/>
        <v>0</v>
      </c>
      <c r="T111" s="450">
        <f t="shared" si="28"/>
        <v>0</v>
      </c>
    </row>
    <row r="112" spans="1:20" ht="15" customHeight="1">
      <c r="B112" s="105"/>
      <c r="C112" s="105"/>
      <c r="D112" s="105"/>
      <c r="E112" s="130"/>
      <c r="F112" s="130"/>
      <c r="G112" s="130"/>
      <c r="H112" s="130"/>
      <c r="I112" s="130"/>
      <c r="J112" s="130"/>
      <c r="K112" s="130"/>
      <c r="L112" s="130"/>
      <c r="M112" s="130"/>
      <c r="N112" s="130"/>
      <c r="O112" s="130"/>
      <c r="P112" s="130"/>
      <c r="Q112" s="130"/>
      <c r="R112" s="130"/>
      <c r="S112" s="130"/>
      <c r="T112" s="130"/>
    </row>
    <row r="113" spans="2:20" ht="15" customHeight="1">
      <c r="B113" s="105" t="s">
        <v>118</v>
      </c>
      <c r="C113" s="105"/>
      <c r="D113" s="105" t="s">
        <v>52</v>
      </c>
      <c r="E113" s="337">
        <f>((E80*(100%-E91))+(E102*E91))</f>
        <v>551.99</v>
      </c>
      <c r="F113" s="337">
        <f>((F80*(100%-F91))+(F102*F91))</f>
        <v>456.01</v>
      </c>
      <c r="G113" s="337">
        <f t="shared" ref="G113:T113" si="30">((G80*(100%-G91))+(G102*G91))</f>
        <v>506.05</v>
      </c>
      <c r="H113" s="337">
        <f t="shared" si="30"/>
        <v>622.4</v>
      </c>
      <c r="I113" s="337">
        <f t="shared" si="30"/>
        <v>636.02</v>
      </c>
      <c r="J113" s="337">
        <f>((J80*(100%-J91))+(J102*J91))</f>
        <v>402.83</v>
      </c>
      <c r="K113" s="337">
        <f>((K80*(100%-K91))+(K102*K91))</f>
        <v>356.27</v>
      </c>
      <c r="L113" s="337">
        <f>((L80*(100%-L91))+(L102*L91))</f>
        <v>629.32000000000005</v>
      </c>
      <c r="M113" s="337">
        <f>((M80*(100%-M91))+(M102*M91))</f>
        <v>1094.1723630430113</v>
      </c>
      <c r="N113" s="450">
        <f t="shared" si="30"/>
        <v>0</v>
      </c>
      <c r="O113" s="450">
        <f t="shared" si="30"/>
        <v>0</v>
      </c>
      <c r="P113" s="450">
        <f t="shared" si="30"/>
        <v>0</v>
      </c>
      <c r="Q113" s="450">
        <f t="shared" si="30"/>
        <v>0</v>
      </c>
      <c r="R113" s="450">
        <f t="shared" si="30"/>
        <v>0</v>
      </c>
      <c r="S113" s="450">
        <f t="shared" si="30"/>
        <v>0</v>
      </c>
      <c r="T113" s="450">
        <f t="shared" si="30"/>
        <v>0</v>
      </c>
    </row>
    <row r="114" spans="2:20" ht="15" customHeight="1">
      <c r="B114" s="113"/>
      <c r="C114" s="113"/>
      <c r="D114" s="113"/>
      <c r="E114" s="113"/>
      <c r="F114" s="113"/>
      <c r="G114" s="113"/>
      <c r="H114" s="113"/>
      <c r="I114" s="113"/>
      <c r="J114" s="113"/>
      <c r="K114" s="113"/>
      <c r="L114" s="113"/>
      <c r="M114" s="113"/>
      <c r="N114" s="113"/>
      <c r="O114" s="113"/>
      <c r="P114" s="113"/>
      <c r="Q114" s="113"/>
      <c r="R114" s="113"/>
      <c r="S114" s="113"/>
      <c r="T114" s="113"/>
    </row>
    <row r="115" spans="2:20" ht="15" customHeight="1"/>
    <row r="116" spans="2:20" ht="15" customHeight="1">
      <c r="B116" s="302" t="s">
        <v>369</v>
      </c>
      <c r="C116" s="302"/>
      <c r="D116" s="302"/>
      <c r="E116" s="303"/>
      <c r="F116" s="303"/>
      <c r="G116" s="303"/>
      <c r="H116" s="303"/>
      <c r="I116" s="303"/>
      <c r="J116" s="303"/>
      <c r="K116" s="303"/>
      <c r="L116" s="303"/>
      <c r="M116" s="303"/>
      <c r="N116" s="303"/>
      <c r="O116" s="303"/>
      <c r="P116" s="303"/>
      <c r="Q116" s="303"/>
      <c r="R116" s="303"/>
      <c r="S116" s="303"/>
      <c r="T116" s="303"/>
    </row>
    <row r="117" spans="2:20" ht="15" customHeight="1"/>
    <row r="118" spans="2:20" ht="15" customHeight="1">
      <c r="B118" s="105" t="s">
        <v>89</v>
      </c>
      <c r="C118" s="105"/>
      <c r="D118" s="105" t="s">
        <v>10</v>
      </c>
      <c r="E118" s="337">
        <v>0</v>
      </c>
      <c r="F118" s="337">
        <v>0</v>
      </c>
      <c r="G118" s="337">
        <v>0</v>
      </c>
      <c r="H118" s="337">
        <v>0</v>
      </c>
      <c r="I118" s="337">
        <v>0</v>
      </c>
      <c r="J118" s="337">
        <v>0</v>
      </c>
      <c r="K118" s="337">
        <v>0</v>
      </c>
      <c r="L118" s="337">
        <v>0</v>
      </c>
      <c r="M118" s="337">
        <v>0</v>
      </c>
      <c r="N118" s="450"/>
      <c r="O118" s="450"/>
      <c r="P118" s="450"/>
      <c r="Q118" s="450"/>
      <c r="R118" s="450"/>
      <c r="S118" s="450"/>
      <c r="T118" s="450"/>
    </row>
    <row r="119" spans="2:20" ht="15" customHeight="1">
      <c r="B119" s="113"/>
      <c r="C119" s="113"/>
      <c r="D119" s="113"/>
      <c r="E119" s="113"/>
      <c r="F119" s="113"/>
      <c r="G119" s="113"/>
      <c r="H119" s="113"/>
      <c r="I119" s="113"/>
      <c r="J119" s="113"/>
      <c r="K119" s="113"/>
      <c r="L119" s="113"/>
      <c r="M119" s="113"/>
      <c r="N119" s="113"/>
      <c r="O119" s="113"/>
      <c r="P119" s="113"/>
      <c r="Q119" s="113"/>
      <c r="R119" s="113"/>
      <c r="S119" s="113"/>
      <c r="T119" s="113"/>
    </row>
    <row r="120" spans="2:20" ht="15" customHeight="1"/>
    <row r="121" spans="2:20" ht="15" customHeight="1">
      <c r="B121" s="302" t="s">
        <v>370</v>
      </c>
      <c r="C121" s="302"/>
      <c r="D121" s="302"/>
      <c r="E121" s="303"/>
      <c r="F121" s="303"/>
      <c r="G121" s="303"/>
      <c r="H121" s="303"/>
      <c r="I121" s="303"/>
      <c r="J121" s="303"/>
      <c r="K121" s="303"/>
      <c r="L121" s="303"/>
      <c r="M121" s="303"/>
      <c r="N121" s="303"/>
      <c r="O121" s="303"/>
      <c r="P121" s="303"/>
      <c r="Q121" s="303"/>
      <c r="R121" s="303"/>
      <c r="S121" s="303"/>
      <c r="T121" s="303"/>
    </row>
    <row r="122" spans="2:20" ht="8.25" customHeight="1"/>
    <row r="123" spans="2:20" ht="15" customHeight="1">
      <c r="B123" s="96" t="s">
        <v>371</v>
      </c>
      <c r="E123" s="340">
        <v>1.97</v>
      </c>
      <c r="F123" s="340">
        <v>2.2799999999999998</v>
      </c>
      <c r="G123" s="340">
        <v>2.7642000000000002</v>
      </c>
      <c r="H123" s="341">
        <v>3.472</v>
      </c>
      <c r="I123" s="340">
        <v>3.4445999999999999</v>
      </c>
      <c r="J123" s="340">
        <v>3.4249000000000001</v>
      </c>
      <c r="K123" s="340">
        <v>3.7</v>
      </c>
      <c r="L123" s="340">
        <v>4.280351061583934</v>
      </c>
      <c r="M123" s="340">
        <v>5.1638385873879056</v>
      </c>
      <c r="N123" s="452"/>
      <c r="O123" s="452"/>
      <c r="P123" s="452"/>
      <c r="Q123" s="452"/>
      <c r="R123" s="452"/>
      <c r="S123" s="452"/>
      <c r="T123" s="452"/>
    </row>
    <row r="124" spans="2:20" ht="15" customHeight="1">
      <c r="B124" s="96" t="s">
        <v>21</v>
      </c>
      <c r="E124" s="456">
        <v>1</v>
      </c>
      <c r="F124" s="456">
        <v>1</v>
      </c>
      <c r="G124" s="456">
        <v>1</v>
      </c>
      <c r="H124" s="457">
        <v>1</v>
      </c>
      <c r="I124" s="456">
        <v>1</v>
      </c>
      <c r="J124" s="456">
        <v>1</v>
      </c>
      <c r="K124" s="456">
        <v>1</v>
      </c>
      <c r="L124" s="456">
        <v>1</v>
      </c>
      <c r="M124" s="456">
        <v>1</v>
      </c>
      <c r="N124" s="453"/>
      <c r="O124" s="453"/>
      <c r="P124" s="453"/>
      <c r="Q124" s="453"/>
      <c r="R124" s="453"/>
      <c r="S124" s="453"/>
      <c r="T124" s="453"/>
    </row>
    <row r="125" spans="2:20" ht="15" customHeight="1">
      <c r="B125" s="96" t="s">
        <v>379</v>
      </c>
      <c r="E125" s="340">
        <v>0</v>
      </c>
      <c r="F125" s="340">
        <v>0</v>
      </c>
      <c r="G125" s="340">
        <v>0</v>
      </c>
      <c r="H125" s="341">
        <v>0</v>
      </c>
      <c r="I125" s="340">
        <v>0</v>
      </c>
      <c r="J125" s="340">
        <v>0</v>
      </c>
      <c r="K125" s="340">
        <v>0</v>
      </c>
      <c r="L125" s="340">
        <v>0</v>
      </c>
      <c r="M125" s="340">
        <v>0</v>
      </c>
      <c r="N125" s="452">
        <f>M129*N130+M129</f>
        <v>5.3956</v>
      </c>
      <c r="O125" s="452">
        <f t="shared" ref="O125:T125" si="31">N129*O130+N129</f>
        <v>0</v>
      </c>
      <c r="P125" s="452">
        <f t="shared" si="31"/>
        <v>0</v>
      </c>
      <c r="Q125" s="452">
        <f t="shared" si="31"/>
        <v>0</v>
      </c>
      <c r="R125" s="452">
        <f t="shared" si="31"/>
        <v>0</v>
      </c>
      <c r="S125" s="452">
        <f t="shared" si="31"/>
        <v>0</v>
      </c>
      <c r="T125" s="452">
        <f t="shared" si="31"/>
        <v>0</v>
      </c>
    </row>
    <row r="126" spans="2:20" ht="15" customHeight="1">
      <c r="B126" s="113" t="s">
        <v>21</v>
      </c>
      <c r="C126" s="113"/>
      <c r="D126" s="113"/>
      <c r="E126" s="454">
        <f>1-E124</f>
        <v>0</v>
      </c>
      <c r="F126" s="454">
        <f t="shared" ref="F126:K126" si="32">1-F124</f>
        <v>0</v>
      </c>
      <c r="G126" s="454">
        <f t="shared" si="32"/>
        <v>0</v>
      </c>
      <c r="H126" s="454">
        <f t="shared" si="32"/>
        <v>0</v>
      </c>
      <c r="I126" s="454">
        <f t="shared" si="32"/>
        <v>0</v>
      </c>
      <c r="J126" s="454">
        <f t="shared" si="32"/>
        <v>0</v>
      </c>
      <c r="K126" s="454">
        <f t="shared" si="32"/>
        <v>0</v>
      </c>
      <c r="L126" s="454">
        <f t="shared" ref="L126:T126" si="33">1-L124</f>
        <v>0</v>
      </c>
      <c r="M126" s="454">
        <f t="shared" si="33"/>
        <v>0</v>
      </c>
      <c r="N126" s="557">
        <f t="shared" si="33"/>
        <v>1</v>
      </c>
      <c r="O126" s="557">
        <f t="shared" si="33"/>
        <v>1</v>
      </c>
      <c r="P126" s="557">
        <f t="shared" si="33"/>
        <v>1</v>
      </c>
      <c r="Q126" s="557">
        <f t="shared" si="33"/>
        <v>1</v>
      </c>
      <c r="R126" s="557">
        <f t="shared" si="33"/>
        <v>1</v>
      </c>
      <c r="S126" s="557">
        <f t="shared" si="33"/>
        <v>1</v>
      </c>
      <c r="T126" s="557">
        <f t="shared" si="33"/>
        <v>1</v>
      </c>
    </row>
    <row r="127" spans="2:20" ht="15" customHeight="1">
      <c r="B127" s="114" t="s">
        <v>120</v>
      </c>
      <c r="C127" s="114"/>
      <c r="D127" s="114"/>
      <c r="E127" s="455">
        <f>(E123*E124+E125*E126)</f>
        <v>1.97</v>
      </c>
      <c r="F127" s="455">
        <f t="shared" ref="F127" si="34">(F123*F124+F125*F126)</f>
        <v>2.2799999999999998</v>
      </c>
      <c r="G127" s="455">
        <f>(G123*G124+G125*G126)</f>
        <v>2.7642000000000002</v>
      </c>
      <c r="H127" s="455">
        <f>(H123*H124+H125*H126)</f>
        <v>3.472</v>
      </c>
      <c r="I127" s="455">
        <f>(I123*I124+I125*I126)</f>
        <v>3.4445999999999999</v>
      </c>
      <c r="J127" s="455">
        <f t="shared" ref="J127:K127" si="35">(J123*J124+J125*J126)</f>
        <v>3.4249000000000001</v>
      </c>
      <c r="K127" s="455">
        <f t="shared" si="35"/>
        <v>3.7</v>
      </c>
      <c r="L127" s="455">
        <f t="shared" ref="L127:T127" si="36">(L123*L124+L125*L126)</f>
        <v>4.280351061583934</v>
      </c>
      <c r="M127" s="455">
        <f>(M123*M124+M125*M126)</f>
        <v>5.1638385873879056</v>
      </c>
      <c r="N127" s="558">
        <f t="shared" si="36"/>
        <v>5.3956</v>
      </c>
      <c r="O127" s="558">
        <f t="shared" si="36"/>
        <v>0</v>
      </c>
      <c r="P127" s="558">
        <f t="shared" si="36"/>
        <v>0</v>
      </c>
      <c r="Q127" s="558">
        <f t="shared" si="36"/>
        <v>0</v>
      </c>
      <c r="R127" s="558">
        <f t="shared" si="36"/>
        <v>0</v>
      </c>
      <c r="S127" s="558">
        <f t="shared" si="36"/>
        <v>0</v>
      </c>
      <c r="T127" s="558">
        <f t="shared" si="36"/>
        <v>0</v>
      </c>
    </row>
    <row r="128" spans="2:20" ht="15" customHeight="1">
      <c r="B128" s="342"/>
      <c r="C128" s="342"/>
      <c r="D128" s="342"/>
      <c r="E128" s="343"/>
      <c r="F128" s="343"/>
      <c r="G128" s="343"/>
      <c r="H128" s="343"/>
      <c r="I128" s="343"/>
      <c r="J128" s="343"/>
      <c r="K128" s="436"/>
      <c r="L128" s="343"/>
      <c r="M128" s="343"/>
      <c r="N128" s="343"/>
      <c r="O128" s="343"/>
      <c r="P128" s="343"/>
      <c r="Q128" s="343"/>
      <c r="R128" s="343"/>
      <c r="S128" s="343"/>
      <c r="T128" s="343"/>
    </row>
    <row r="129" spans="1:20" ht="15" customHeight="1">
      <c r="B129" s="344" t="s">
        <v>370</v>
      </c>
      <c r="C129" s="344"/>
      <c r="D129" s="204" t="s">
        <v>82</v>
      </c>
      <c r="E129" s="340">
        <v>2.1605075098814228</v>
      </c>
      <c r="F129" s="340">
        <v>2.3547158102766796</v>
      </c>
      <c r="G129" s="341">
        <v>3.3386960000000032</v>
      </c>
      <c r="H129" s="340">
        <v>3.4833270916334653</v>
      </c>
      <c r="I129" s="340">
        <v>3.1925453815261049</v>
      </c>
      <c r="J129" s="340">
        <v>3.8</v>
      </c>
      <c r="K129" s="340">
        <v>3.9</v>
      </c>
      <c r="L129" s="340">
        <v>5.155020967741935</v>
      </c>
      <c r="M129" s="340">
        <v>5.3956</v>
      </c>
      <c r="N129" s="452"/>
      <c r="O129" s="452"/>
      <c r="P129" s="452"/>
      <c r="Q129" s="452"/>
      <c r="R129" s="452"/>
      <c r="S129" s="452"/>
      <c r="T129" s="452"/>
    </row>
    <row r="130" spans="1:20" ht="15" customHeight="1">
      <c r="A130" s="527"/>
      <c r="B130" s="344" t="s">
        <v>372</v>
      </c>
      <c r="C130" s="344"/>
      <c r="D130" s="204" t="s">
        <v>21</v>
      </c>
      <c r="E130" s="340">
        <v>0</v>
      </c>
      <c r="F130" s="340">
        <v>0</v>
      </c>
      <c r="G130" s="341">
        <v>0</v>
      </c>
      <c r="H130" s="340">
        <v>0</v>
      </c>
      <c r="I130" s="340">
        <v>0</v>
      </c>
      <c r="J130" s="340">
        <v>0</v>
      </c>
      <c r="K130" s="340">
        <v>0</v>
      </c>
      <c r="L130" s="340">
        <v>0</v>
      </c>
      <c r="M130" s="340">
        <v>0</v>
      </c>
      <c r="N130" s="458"/>
      <c r="O130" s="458"/>
      <c r="P130" s="458"/>
      <c r="Q130" s="458"/>
      <c r="R130" s="458"/>
      <c r="S130" s="458"/>
      <c r="T130" s="458"/>
    </row>
    <row r="131" spans="1:20" ht="15" customHeight="1"/>
    <row r="132" spans="1:20" ht="15" customHeight="1">
      <c r="B132" s="302" t="s">
        <v>373</v>
      </c>
      <c r="C132" s="302"/>
      <c r="D132" s="302"/>
      <c r="E132" s="303"/>
      <c r="F132" s="303"/>
      <c r="G132" s="303"/>
      <c r="H132" s="303"/>
      <c r="I132" s="303"/>
      <c r="J132" s="303"/>
      <c r="K132" s="303"/>
      <c r="L132" s="303"/>
      <c r="M132" s="303"/>
      <c r="N132" s="303"/>
      <c r="O132" s="303"/>
      <c r="P132" s="303"/>
      <c r="Q132" s="303"/>
      <c r="R132" s="303"/>
      <c r="S132" s="303"/>
      <c r="T132" s="303"/>
    </row>
    <row r="133" spans="1:20" ht="15" customHeight="1"/>
    <row r="134" spans="1:20" ht="15" customHeight="1">
      <c r="B134" s="318" t="s">
        <v>374</v>
      </c>
      <c r="C134" s="125"/>
      <c r="D134" s="204" t="s">
        <v>21</v>
      </c>
      <c r="E134" s="345">
        <f>IS!D23/IS!D17</f>
        <v>-4.3271080353580044E-2</v>
      </c>
      <c r="F134" s="345">
        <f>IS!E23/IS!E17</f>
        <v>-4.7922790053871421E-2</v>
      </c>
      <c r="G134" s="345">
        <f>IS!F23/IS!F17</f>
        <v>-3.6585773318727352E-2</v>
      </c>
      <c r="H134" s="345">
        <f>IS!G23/IS!G17</f>
        <v>-5.9161169810452184E-2</v>
      </c>
      <c r="I134" s="345">
        <f>IS!H23/IS!H17</f>
        <v>-3.8583361398909569E-2</v>
      </c>
      <c r="J134" s="345">
        <f>IS!I23/IS!I17</f>
        <v>-2.7964151205935924E-2</v>
      </c>
      <c r="K134" s="345">
        <f>IS!J23/IS!J17</f>
        <v>-2.8855767482675279E-2</v>
      </c>
      <c r="L134" s="345">
        <f>IS!K23/IS!K17</f>
        <v>-2.7469367856286644E-2</v>
      </c>
      <c r="M134" s="345">
        <f>IS!L23/IS!L17</f>
        <v>-2.6148719340372061E-2</v>
      </c>
      <c r="N134" s="459"/>
      <c r="O134" s="459"/>
      <c r="P134" s="459"/>
      <c r="Q134" s="459"/>
      <c r="R134" s="459"/>
      <c r="S134" s="459"/>
      <c r="T134" s="459"/>
    </row>
    <row r="135" spans="1:20" ht="15" customHeight="1">
      <c r="B135" s="114"/>
      <c r="C135" s="113"/>
      <c r="D135" s="113"/>
      <c r="E135" s="277"/>
      <c r="F135" s="277"/>
      <c r="G135" s="277"/>
      <c r="H135" s="277"/>
      <c r="I135" s="277"/>
      <c r="J135" s="277"/>
      <c r="K135" s="277"/>
      <c r="L135" s="277"/>
      <c r="M135" s="277"/>
      <c r="N135" s="277"/>
      <c r="O135" s="277"/>
      <c r="P135" s="277"/>
      <c r="Q135" s="277"/>
      <c r="R135" s="277"/>
      <c r="S135" s="277"/>
      <c r="T135" s="277"/>
    </row>
    <row r="136" spans="1:20" ht="15" customHeight="1"/>
    <row r="137" spans="1:20" ht="15" customHeight="1">
      <c r="B137" s="302" t="s">
        <v>121</v>
      </c>
      <c r="C137" s="302"/>
      <c r="D137" s="302"/>
      <c r="E137" s="303"/>
      <c r="F137" s="303"/>
      <c r="G137" s="303"/>
      <c r="H137" s="303"/>
      <c r="I137" s="303"/>
      <c r="J137" s="303"/>
      <c r="K137" s="303"/>
      <c r="L137" s="303"/>
      <c r="M137" s="303"/>
      <c r="N137" s="303"/>
      <c r="O137" s="303"/>
      <c r="P137" s="303"/>
      <c r="Q137" s="303"/>
      <c r="R137" s="303"/>
      <c r="S137" s="303"/>
      <c r="T137" s="303"/>
    </row>
    <row r="138" spans="1:20" ht="15" customHeight="1"/>
    <row r="139" spans="1:20" ht="15" customHeight="1">
      <c r="B139" s="318" t="s">
        <v>122</v>
      </c>
      <c r="C139" s="125"/>
      <c r="D139" s="204" t="s">
        <v>21</v>
      </c>
      <c r="E139" s="345">
        <f>IS!D16/IS!D27</f>
        <v>2.788852962285818E-2</v>
      </c>
      <c r="F139" s="345">
        <f>IS!E16/IS!E27</f>
        <v>2.9703115142523089E-2</v>
      </c>
      <c r="G139" s="345">
        <f>IS!F16/IS!F27</f>
        <v>2.3678114320665446E-2</v>
      </c>
      <c r="H139" s="345">
        <f>IS!G16/IS!G27</f>
        <v>2.2906089955331679E-2</v>
      </c>
      <c r="I139" s="345">
        <f>IS!H16/IS!H27</f>
        <v>1.6608075129108644E-2</v>
      </c>
      <c r="J139" s="345">
        <f>IS!I16/IS!I27</f>
        <v>2.1353982503873197E-2</v>
      </c>
      <c r="K139" s="345">
        <f>IS!J16/IS!J27</f>
        <v>3.3752691104130032E-2</v>
      </c>
      <c r="L139" s="345">
        <f>IS!K16/IS!K27</f>
        <v>2.4046073670628661E-2</v>
      </c>
      <c r="M139" s="345">
        <f>IS!L16/IS!L27</f>
        <v>4.7455939813249796E-2</v>
      </c>
      <c r="N139" s="459"/>
      <c r="O139" s="459"/>
      <c r="P139" s="459"/>
      <c r="Q139" s="459"/>
      <c r="R139" s="459"/>
      <c r="S139" s="459"/>
      <c r="T139" s="459"/>
    </row>
    <row r="140" spans="1:20" ht="15" customHeight="1">
      <c r="B140" s="318" t="s">
        <v>123</v>
      </c>
      <c r="C140" s="125"/>
      <c r="D140" s="204" t="s">
        <v>21</v>
      </c>
      <c r="E140" s="345">
        <f>IS!D36/IS!D27</f>
        <v>-1.2364772071732533E-2</v>
      </c>
      <c r="F140" s="345">
        <f>IS!E36/IS!E27</f>
        <v>-1.8395702803695697E-2</v>
      </c>
      <c r="G140" s="345">
        <f>IS!F36/IS!F27</f>
        <v>-1.6350002345963687E-2</v>
      </c>
      <c r="H140" s="345">
        <f>IS!G36/IS!G27</f>
        <v>-1.3854303521228399E-2</v>
      </c>
      <c r="I140" s="345">
        <f>IS!H36/IS!H27</f>
        <v>-7.8458445774508105E-3</v>
      </c>
      <c r="J140" s="345">
        <f>IS!I36/IS!I27</f>
        <v>-1.0781996498865853E-2</v>
      </c>
      <c r="K140" s="345">
        <f>IS!J36/IS!J27</f>
        <v>-2.2616809051928869E-2</v>
      </c>
      <c r="L140" s="345">
        <f>IS!K36/IS!K27</f>
        <v>-2.0123188476720507E-2</v>
      </c>
      <c r="M140" s="345">
        <f>IS!L36/IS!L27</f>
        <v>-2.5986836837196461E-2</v>
      </c>
      <c r="N140" s="459"/>
      <c r="O140" s="459"/>
      <c r="P140" s="459"/>
      <c r="Q140" s="459"/>
      <c r="R140" s="459"/>
      <c r="S140" s="459"/>
      <c r="T140" s="459"/>
    </row>
    <row r="141" spans="1:20" ht="15" customHeight="1"/>
    <row r="142" spans="1:20" ht="15" customHeight="1">
      <c r="B142" s="302" t="s">
        <v>375</v>
      </c>
      <c r="C142" s="302"/>
      <c r="D142" s="302"/>
      <c r="E142" s="303"/>
      <c r="F142" s="303"/>
      <c r="G142" s="303"/>
      <c r="H142" s="303"/>
      <c r="I142" s="303"/>
      <c r="J142" s="303"/>
      <c r="K142" s="303"/>
      <c r="L142" s="303"/>
      <c r="M142" s="303"/>
      <c r="N142" s="303"/>
      <c r="O142" s="303"/>
      <c r="P142" s="303"/>
      <c r="Q142" s="303"/>
      <c r="R142" s="303"/>
      <c r="S142" s="303"/>
      <c r="T142" s="303"/>
    </row>
    <row r="143" spans="1:20" ht="15" customHeight="1"/>
    <row r="144" spans="1:20" ht="15" customHeight="1">
      <c r="B144" s="318" t="s">
        <v>89</v>
      </c>
      <c r="C144" s="125"/>
      <c r="D144" s="204" t="s">
        <v>75</v>
      </c>
      <c r="E144" s="347">
        <v>1769</v>
      </c>
      <c r="F144" s="347">
        <v>1985</v>
      </c>
      <c r="G144" s="347">
        <v>2008</v>
      </c>
      <c r="H144" s="347">
        <v>2206</v>
      </c>
      <c r="I144" s="347">
        <v>2229</v>
      </c>
      <c r="J144" s="347">
        <v>2184</v>
      </c>
      <c r="K144" s="347">
        <v>2469</v>
      </c>
      <c r="L144" s="347">
        <v>3015</v>
      </c>
      <c r="M144" s="347">
        <v>3529</v>
      </c>
      <c r="N144" s="347">
        <v>4131</v>
      </c>
      <c r="O144" s="460"/>
      <c r="P144" s="460"/>
      <c r="Q144" s="460"/>
      <c r="R144" s="460"/>
      <c r="S144" s="460"/>
      <c r="T144" s="460"/>
    </row>
    <row r="145" spans="2:21" ht="15" customHeight="1">
      <c r="B145" s="318" t="s">
        <v>93</v>
      </c>
      <c r="C145" s="125"/>
      <c r="D145" s="204" t="s">
        <v>75</v>
      </c>
      <c r="E145" s="347">
        <v>0</v>
      </c>
      <c r="F145" s="347">
        <v>0</v>
      </c>
      <c r="G145" s="347">
        <v>0</v>
      </c>
      <c r="H145" s="347">
        <v>0</v>
      </c>
      <c r="I145" s="347">
        <v>0</v>
      </c>
      <c r="J145" s="347">
        <v>0</v>
      </c>
      <c r="K145" s="347">
        <v>0</v>
      </c>
      <c r="L145" s="347">
        <v>0</v>
      </c>
      <c r="M145" s="347">
        <v>0</v>
      </c>
      <c r="N145" s="347">
        <v>0</v>
      </c>
      <c r="O145" s="460"/>
      <c r="P145" s="460"/>
      <c r="Q145" s="460"/>
      <c r="R145" s="460"/>
      <c r="S145" s="460"/>
      <c r="T145" s="460"/>
    </row>
    <row r="146" spans="2:21" ht="15" customHeight="1">
      <c r="B146" s="318" t="s">
        <v>124</v>
      </c>
      <c r="C146" s="125"/>
      <c r="D146" s="204" t="s">
        <v>75</v>
      </c>
      <c r="E146" s="347">
        <v>2709</v>
      </c>
      <c r="F146" s="347">
        <v>1474</v>
      </c>
      <c r="G146" s="347">
        <v>2513</v>
      </c>
      <c r="H146" s="347">
        <v>1548</v>
      </c>
      <c r="I146" s="347">
        <v>1765</v>
      </c>
      <c r="J146" s="347">
        <v>1660</v>
      </c>
      <c r="K146" s="347">
        <v>2007</v>
      </c>
      <c r="L146" s="347">
        <v>2545</v>
      </c>
      <c r="M146" s="347">
        <v>2990</v>
      </c>
      <c r="N146" s="347">
        <v>3939</v>
      </c>
      <c r="O146" s="460"/>
      <c r="P146" s="460"/>
      <c r="Q146" s="460"/>
      <c r="R146" s="460"/>
      <c r="S146" s="460"/>
      <c r="T146" s="460"/>
    </row>
    <row r="147" spans="2:21" ht="15" customHeight="1">
      <c r="B147" s="318" t="s">
        <v>125</v>
      </c>
      <c r="C147" s="125"/>
      <c r="D147" s="204" t="s">
        <v>75</v>
      </c>
      <c r="E147" s="347">
        <f>(E145*E15+E146*E16)/E14</f>
        <v>1910.6441255860207</v>
      </c>
      <c r="F147" s="347">
        <f t="shared" ref="F147:T147" si="37">(F145*F15+F146*F16)/F14</f>
        <v>1079.839653304442</v>
      </c>
      <c r="G147" s="347">
        <f t="shared" si="37"/>
        <v>2216.1807710206094</v>
      </c>
      <c r="H147" s="347">
        <f t="shared" si="37"/>
        <v>1548</v>
      </c>
      <c r="I147" s="347">
        <f t="shared" si="37"/>
        <v>1765</v>
      </c>
      <c r="J147" s="347">
        <f t="shared" si="37"/>
        <v>1660</v>
      </c>
      <c r="K147" s="347">
        <f t="shared" si="37"/>
        <v>2007</v>
      </c>
      <c r="L147" s="347">
        <f t="shared" si="37"/>
        <v>2545</v>
      </c>
      <c r="M147" s="347">
        <f t="shared" si="37"/>
        <v>2990</v>
      </c>
      <c r="N147" s="347">
        <f t="shared" si="37"/>
        <v>3939</v>
      </c>
      <c r="O147" s="460" t="e">
        <f t="shared" si="37"/>
        <v>#DIV/0!</v>
      </c>
      <c r="P147" s="460" t="e">
        <f t="shared" si="37"/>
        <v>#DIV/0!</v>
      </c>
      <c r="Q147" s="460" t="e">
        <f t="shared" si="37"/>
        <v>#DIV/0!</v>
      </c>
      <c r="R147" s="460" t="e">
        <f t="shared" si="37"/>
        <v>#DIV/0!</v>
      </c>
      <c r="S147" s="460" t="e">
        <f t="shared" si="37"/>
        <v>#DIV/0!</v>
      </c>
      <c r="T147" s="460" t="e">
        <f t="shared" si="37"/>
        <v>#DIV/0!</v>
      </c>
    </row>
    <row r="148" spans="2:21" ht="15" customHeight="1">
      <c r="B148" s="318" t="s">
        <v>90</v>
      </c>
      <c r="C148" s="125"/>
      <c r="D148" s="204" t="s">
        <v>75</v>
      </c>
      <c r="E148" s="347">
        <v>5442</v>
      </c>
      <c r="F148" s="347">
        <v>5739</v>
      </c>
      <c r="G148" s="347">
        <v>6274</v>
      </c>
      <c r="H148" s="347">
        <v>7096</v>
      </c>
      <c r="I148" s="347">
        <v>7138</v>
      </c>
      <c r="J148" s="347">
        <v>6384</v>
      </c>
      <c r="K148" s="347">
        <v>7922</v>
      </c>
      <c r="L148" s="347">
        <v>9362</v>
      </c>
      <c r="M148" s="347">
        <v>10971</v>
      </c>
      <c r="N148" s="347">
        <v>12658</v>
      </c>
      <c r="O148" s="460"/>
      <c r="P148" s="460"/>
      <c r="Q148" s="460"/>
      <c r="R148" s="460"/>
      <c r="S148" s="460"/>
      <c r="T148" s="460"/>
    </row>
    <row r="149" spans="2:21" ht="15" customHeight="1">
      <c r="B149" s="318" t="s">
        <v>126</v>
      </c>
      <c r="C149" s="125"/>
      <c r="D149" s="204" t="s">
        <v>75</v>
      </c>
      <c r="E149" s="347">
        <v>4190</v>
      </c>
      <c r="F149" s="347">
        <v>4371</v>
      </c>
      <c r="G149" s="347">
        <v>4936</v>
      </c>
      <c r="H149" s="347">
        <v>5868</v>
      </c>
      <c r="I149" s="347">
        <v>5838</v>
      </c>
      <c r="J149" s="347">
        <v>5822</v>
      </c>
      <c r="K149" s="347">
        <v>7045</v>
      </c>
      <c r="L149" s="347">
        <v>8264</v>
      </c>
      <c r="M149" s="347">
        <v>9951</v>
      </c>
      <c r="N149" s="347">
        <v>10863</v>
      </c>
      <c r="O149" s="460"/>
      <c r="P149" s="460"/>
      <c r="Q149" s="460"/>
      <c r="R149" s="460"/>
      <c r="S149" s="460"/>
      <c r="T149" s="460"/>
    </row>
    <row r="150" spans="2:21" ht="15" customHeight="1">
      <c r="B150" s="318" t="s">
        <v>127</v>
      </c>
      <c r="C150" s="125"/>
      <c r="D150" s="204" t="s">
        <v>75</v>
      </c>
      <c r="E150" s="347">
        <f t="shared" ref="E150:T150" si="38">(E148*E12+E149*E13)/E11</f>
        <v>5201.1314181248372</v>
      </c>
      <c r="F150" s="347">
        <f t="shared" si="38"/>
        <v>5554.2894753699311</v>
      </c>
      <c r="G150" s="347">
        <f t="shared" si="38"/>
        <v>6071.9737018323494</v>
      </c>
      <c r="H150" s="347">
        <f t="shared" si="38"/>
        <v>6846.182472218059</v>
      </c>
      <c r="I150" s="347">
        <f t="shared" si="38"/>
        <v>6713.4757666503319</v>
      </c>
      <c r="J150" s="347">
        <f t="shared" si="38"/>
        <v>6163.6761857184883</v>
      </c>
      <c r="K150" s="347">
        <v>7562</v>
      </c>
      <c r="L150" s="347">
        <f t="shared" si="38"/>
        <v>8912.0949769651361</v>
      </c>
      <c r="M150" s="347">
        <f t="shared" si="38"/>
        <v>10676.984305920594</v>
      </c>
      <c r="N150" s="347">
        <f t="shared" si="38"/>
        <v>11740.510897301107</v>
      </c>
      <c r="O150" s="460" t="e">
        <f t="shared" si="38"/>
        <v>#DIV/0!</v>
      </c>
      <c r="P150" s="460" t="e">
        <f t="shared" si="38"/>
        <v>#DIV/0!</v>
      </c>
      <c r="Q150" s="460" t="e">
        <f t="shared" si="38"/>
        <v>#DIV/0!</v>
      </c>
      <c r="R150" s="460" t="e">
        <f t="shared" si="38"/>
        <v>#DIV/0!</v>
      </c>
      <c r="S150" s="460" t="e">
        <f t="shared" si="38"/>
        <v>#DIV/0!</v>
      </c>
      <c r="T150" s="460" t="e">
        <f t="shared" si="38"/>
        <v>#DIV/0!</v>
      </c>
    </row>
    <row r="151" spans="2:21" ht="15" customHeight="1">
      <c r="B151" s="299"/>
      <c r="C151" s="299"/>
      <c r="D151" s="299"/>
      <c r="E151" s="299"/>
      <c r="F151" s="299"/>
      <c r="G151" s="299"/>
      <c r="H151" s="299"/>
      <c r="I151" s="299"/>
      <c r="J151" s="531"/>
      <c r="K151" s="299"/>
      <c r="L151" s="299"/>
      <c r="M151" s="299"/>
      <c r="N151" s="299"/>
      <c r="O151" s="299"/>
      <c r="P151" s="299"/>
      <c r="Q151" s="299"/>
      <c r="R151" s="299"/>
      <c r="S151" s="299"/>
      <c r="T151" s="299"/>
      <c r="U151" s="299"/>
    </row>
    <row r="152" spans="2:21" ht="15" customHeight="1">
      <c r="B152" s="344" t="s">
        <v>128</v>
      </c>
      <c r="C152" s="344"/>
      <c r="D152" s="204" t="s">
        <v>21</v>
      </c>
      <c r="E152" s="430">
        <v>0.45</v>
      </c>
      <c r="F152" s="430">
        <v>0.45</v>
      </c>
      <c r="G152" s="430">
        <v>0.45</v>
      </c>
      <c r="H152" s="430">
        <v>0.45</v>
      </c>
      <c r="I152" s="430">
        <v>0.45</v>
      </c>
      <c r="J152" s="430">
        <f t="shared" ref="J152" si="39">1-J153</f>
        <v>0.42000000000000004</v>
      </c>
      <c r="K152" s="430">
        <v>0.42</v>
      </c>
      <c r="L152" s="430">
        <f>1-L153</f>
        <v>0.41999999999999993</v>
      </c>
      <c r="M152" s="430">
        <f>1-M153</f>
        <v>0.43700000000000006</v>
      </c>
      <c r="N152" s="428">
        <f>1-N153</f>
        <v>0.41700000000000004</v>
      </c>
      <c r="O152" s="451"/>
      <c r="P152" s="451"/>
      <c r="Q152" s="451"/>
      <c r="R152" s="451"/>
      <c r="S152" s="451"/>
      <c r="T152" s="451"/>
      <c r="U152" s="299"/>
    </row>
    <row r="153" spans="2:21" ht="15" customHeight="1">
      <c r="B153" s="344" t="s">
        <v>129</v>
      </c>
      <c r="C153" s="344"/>
      <c r="D153" s="204" t="s">
        <v>21</v>
      </c>
      <c r="E153" s="430">
        <v>0.55000000000000004</v>
      </c>
      <c r="F153" s="430">
        <v>0.55000000000000004</v>
      </c>
      <c r="G153" s="430">
        <v>0.55000000000000004</v>
      </c>
      <c r="H153" s="430">
        <v>0.55000000000000004</v>
      </c>
      <c r="I153" s="430">
        <v>0.55000000000000004</v>
      </c>
      <c r="J153" s="430">
        <v>0.57999999999999996</v>
      </c>
      <c r="K153" s="430">
        <v>0.57999999999999996</v>
      </c>
      <c r="L153" s="430">
        <f>23.8%+22.1%+12.1%</f>
        <v>0.58000000000000007</v>
      </c>
      <c r="M153" s="430">
        <f>24.4%+21.4%+10.5%</f>
        <v>0.56299999999999994</v>
      </c>
      <c r="N153" s="428">
        <f>24.3%+22%+12%</f>
        <v>0.58299999999999996</v>
      </c>
      <c r="O153" s="451"/>
      <c r="P153" s="451"/>
      <c r="Q153" s="451"/>
      <c r="R153" s="451"/>
      <c r="S153" s="451"/>
      <c r="T153" s="451"/>
    </row>
    <row r="154" spans="2:21" ht="15" customHeight="1">
      <c r="B154" s="344" t="s">
        <v>130</v>
      </c>
      <c r="C154" s="344"/>
      <c r="D154" s="204" t="s">
        <v>21</v>
      </c>
      <c r="E154" s="429">
        <v>5.9108000000000001E-2</v>
      </c>
      <c r="F154" s="429">
        <v>6.4075999999999994E-2</v>
      </c>
      <c r="G154" s="429">
        <v>0.106735</v>
      </c>
      <c r="H154" s="429">
        <v>6.2881000000000006E-2</v>
      </c>
      <c r="I154" s="429">
        <v>2.9472999999999999E-2</v>
      </c>
      <c r="J154" s="429">
        <v>3.7455000000000002E-2</v>
      </c>
      <c r="K154" s="429">
        <v>4.3099999999999999E-2</v>
      </c>
      <c r="L154" s="429">
        <v>4.5172999999999998E-2</v>
      </c>
      <c r="M154" s="563">
        <v>0.10061100000000001</v>
      </c>
      <c r="N154" s="564">
        <f>M154</f>
        <v>0.10061100000000001</v>
      </c>
      <c r="O154" s="451"/>
      <c r="P154" s="451"/>
      <c r="Q154" s="451"/>
      <c r="R154" s="451"/>
      <c r="S154" s="451"/>
      <c r="T154" s="451"/>
    </row>
    <row r="155" spans="2:21" ht="15" customHeight="1">
      <c r="B155" s="344" t="s">
        <v>131</v>
      </c>
      <c r="C155" s="344"/>
      <c r="D155" s="204" t="s">
        <v>21</v>
      </c>
      <c r="E155" s="432">
        <v>0</v>
      </c>
      <c r="F155" s="432">
        <v>0</v>
      </c>
      <c r="G155" s="432">
        <v>0</v>
      </c>
      <c r="H155" s="432">
        <v>0</v>
      </c>
      <c r="I155" s="432">
        <v>0</v>
      </c>
      <c r="J155" s="432">
        <v>0</v>
      </c>
      <c r="K155" s="432">
        <v>0</v>
      </c>
      <c r="L155" s="432">
        <v>0</v>
      </c>
      <c r="M155" s="432">
        <v>0</v>
      </c>
      <c r="N155" s="428"/>
      <c r="O155" s="451"/>
      <c r="P155" s="451"/>
      <c r="Q155" s="451"/>
      <c r="R155" s="451"/>
      <c r="S155" s="451"/>
      <c r="T155" s="451"/>
    </row>
    <row r="156" spans="2:21" ht="15" hidden="1" customHeight="1"/>
    <row r="157" spans="2:21" ht="15" hidden="1" customHeight="1">
      <c r="B157" s="302" t="s">
        <v>22</v>
      </c>
      <c r="C157" s="302"/>
      <c r="D157" s="302"/>
      <c r="E157" s="303"/>
      <c r="F157" s="303"/>
      <c r="G157" s="303"/>
      <c r="H157" s="303"/>
      <c r="I157" s="303"/>
      <c r="J157" s="303"/>
      <c r="K157" s="303"/>
      <c r="L157" s="303"/>
      <c r="M157" s="303"/>
      <c r="N157" s="303"/>
      <c r="O157" s="303"/>
      <c r="P157" s="303"/>
      <c r="Q157" s="303"/>
      <c r="R157" s="303"/>
      <c r="S157" s="303"/>
      <c r="T157" s="303"/>
    </row>
    <row r="158" spans="2:21" ht="15" hidden="1" customHeight="1"/>
    <row r="159" spans="2:21" ht="15" hidden="1" customHeight="1">
      <c r="B159" s="85" t="s">
        <v>6</v>
      </c>
      <c r="C159" s="125"/>
      <c r="D159" s="204" t="s">
        <v>21</v>
      </c>
      <c r="E159" s="307">
        <v>0</v>
      </c>
      <c r="F159" s="307">
        <v>0</v>
      </c>
      <c r="G159" s="307">
        <v>0</v>
      </c>
      <c r="H159" s="307">
        <v>0</v>
      </c>
      <c r="I159" s="307">
        <v>0</v>
      </c>
      <c r="J159" s="312">
        <v>0</v>
      </c>
      <c r="K159" s="312">
        <v>0</v>
      </c>
      <c r="L159" s="312">
        <f>K159</f>
        <v>0</v>
      </c>
      <c r="M159" s="312">
        <f t="shared" ref="M159:T159" si="40">L159</f>
        <v>0</v>
      </c>
      <c r="N159" s="312">
        <f t="shared" si="40"/>
        <v>0</v>
      </c>
      <c r="O159" s="312">
        <f t="shared" si="40"/>
        <v>0</v>
      </c>
      <c r="P159" s="312">
        <f t="shared" si="40"/>
        <v>0</v>
      </c>
      <c r="Q159" s="312">
        <f t="shared" si="40"/>
        <v>0</v>
      </c>
      <c r="R159" s="312">
        <f t="shared" si="40"/>
        <v>0</v>
      </c>
      <c r="S159" s="312">
        <f t="shared" si="40"/>
        <v>0</v>
      </c>
      <c r="T159" s="312">
        <f t="shared" si="40"/>
        <v>0</v>
      </c>
    </row>
    <row r="160" spans="2:21" ht="15" customHeight="1">
      <c r="B160" s="126"/>
      <c r="C160" s="126"/>
      <c r="D160" s="126"/>
      <c r="E160" s="126"/>
      <c r="F160" s="126"/>
      <c r="G160" s="126"/>
      <c r="H160" s="126"/>
      <c r="I160" s="126"/>
      <c r="J160" s="126"/>
      <c r="K160" s="126"/>
      <c r="L160" s="126"/>
      <c r="M160" s="126"/>
      <c r="N160" s="126"/>
      <c r="O160" s="126"/>
      <c r="P160" s="126"/>
      <c r="Q160" s="126"/>
      <c r="R160" s="126"/>
      <c r="S160" s="126"/>
      <c r="T160" s="126"/>
    </row>
    <row r="161" spans="2:20" ht="15" customHeight="1"/>
    <row r="162" spans="2:20" ht="15" customHeight="1">
      <c r="B162" s="302" t="s">
        <v>376</v>
      </c>
      <c r="C162" s="302"/>
      <c r="D162" s="302"/>
      <c r="E162" s="303"/>
      <c r="F162" s="303"/>
      <c r="G162" s="303"/>
      <c r="H162" s="303"/>
      <c r="I162" s="303"/>
      <c r="J162" s="303"/>
      <c r="K162" s="303"/>
      <c r="L162" s="303"/>
      <c r="M162" s="303"/>
      <c r="N162" s="303"/>
      <c r="O162" s="303"/>
      <c r="P162" s="303"/>
      <c r="Q162" s="303"/>
      <c r="R162" s="303"/>
      <c r="S162" s="303"/>
      <c r="T162" s="303"/>
    </row>
    <row r="163" spans="2:20" ht="15" customHeight="1"/>
    <row r="164" spans="2:20" ht="15" customHeight="1">
      <c r="B164" s="85" t="s">
        <v>132</v>
      </c>
      <c r="C164" s="125"/>
      <c r="D164" s="204" t="s">
        <v>21</v>
      </c>
      <c r="E164" s="309">
        <f>IS!D52/IS!D27</f>
        <v>-3.4536947704115306E-2</v>
      </c>
      <c r="F164" s="309">
        <f>IS!E52/IS!E27</f>
        <v>-3.2844492486701751E-2</v>
      </c>
      <c r="G164" s="309">
        <f>IS!F52/IS!F27</f>
        <v>-2.7710247921987473E-2</v>
      </c>
      <c r="H164" s="309">
        <f>IS!G52/IS!G27</f>
        <v>-3.3808340502774377E-2</v>
      </c>
      <c r="I164" s="309">
        <f>IS!H52/IS!H27</f>
        <v>-3.0493135102848012E-2</v>
      </c>
      <c r="J164" s="309">
        <f>IS!I52/IS!I27</f>
        <v>-3.0451512115299773E-2</v>
      </c>
      <c r="K164" s="309">
        <f>IS!J52/IS!J27</f>
        <v>-2.9641529846486544E-2</v>
      </c>
      <c r="L164" s="309">
        <f>IS!K52/IS!K27</f>
        <v>-2.6761303263692648E-2</v>
      </c>
      <c r="M164" s="309">
        <f>IS!L52/IS!L27</f>
        <v>-3.3091575119396664E-2</v>
      </c>
      <c r="N164" s="461"/>
      <c r="O164" s="461"/>
      <c r="P164" s="461"/>
      <c r="Q164" s="461"/>
      <c r="R164" s="461"/>
      <c r="S164" s="461"/>
      <c r="T164" s="461"/>
    </row>
    <row r="165" spans="2:20" ht="15" customHeight="1">
      <c r="B165" s="85" t="s">
        <v>133</v>
      </c>
      <c r="C165" s="125"/>
      <c r="D165" s="204" t="s">
        <v>21</v>
      </c>
      <c r="E165" s="429">
        <v>5.9108000000000001E-2</v>
      </c>
      <c r="F165" s="429">
        <v>6.4075999999999994E-2</v>
      </c>
      <c r="G165" s="429">
        <v>0.106735</v>
      </c>
      <c r="H165" s="429">
        <v>6.2881000000000006E-2</v>
      </c>
      <c r="I165" s="429">
        <v>2.9472999999999999E-2</v>
      </c>
      <c r="J165" s="429">
        <v>3.7455000000000002E-2</v>
      </c>
      <c r="K165" s="429">
        <v>4.3099999999999999E-2</v>
      </c>
      <c r="L165" s="429">
        <v>4.5172999999999998E-2</v>
      </c>
      <c r="M165" s="429">
        <f>M154</f>
        <v>0.10061100000000001</v>
      </c>
      <c r="N165" s="462"/>
      <c r="O165" s="462"/>
      <c r="P165" s="462"/>
      <c r="Q165" s="462"/>
      <c r="R165" s="462"/>
      <c r="S165" s="462"/>
      <c r="T165" s="462"/>
    </row>
    <row r="166" spans="2:20" ht="15" customHeight="1">
      <c r="B166" s="87"/>
      <c r="D166" s="313"/>
      <c r="E166" s="520"/>
      <c r="F166" s="520"/>
      <c r="G166" s="520"/>
      <c r="H166" s="520"/>
      <c r="I166" s="520"/>
      <c r="J166" s="520"/>
      <c r="K166" s="520"/>
      <c r="L166" s="520"/>
      <c r="M166" s="520"/>
      <c r="N166" s="520"/>
      <c r="O166" s="520"/>
      <c r="P166" s="520"/>
      <c r="Q166" s="520"/>
      <c r="R166" s="520"/>
      <c r="S166" s="520"/>
      <c r="T166" s="520"/>
    </row>
    <row r="167" spans="2:20" ht="15" customHeight="1">
      <c r="B167" s="302" t="s">
        <v>177</v>
      </c>
      <c r="C167" s="302"/>
      <c r="D167" s="302"/>
      <c r="E167" s="303"/>
      <c r="F167" s="303"/>
      <c r="G167" s="303"/>
      <c r="H167" s="303"/>
      <c r="I167" s="303"/>
      <c r="J167" s="303"/>
      <c r="K167" s="303"/>
      <c r="L167" s="303"/>
      <c r="M167" s="303"/>
      <c r="N167" s="303"/>
      <c r="O167" s="303"/>
      <c r="P167" s="303"/>
      <c r="Q167" s="303"/>
      <c r="R167" s="303"/>
      <c r="S167" s="303"/>
      <c r="T167" s="303"/>
    </row>
    <row r="168" spans="2:20" ht="15" customHeight="1"/>
    <row r="169" spans="2:20" ht="15" customHeight="1">
      <c r="B169" s="85" t="s">
        <v>178</v>
      </c>
      <c r="C169" s="125"/>
      <c r="D169" s="204" t="s">
        <v>21</v>
      </c>
      <c r="E169" s="309">
        <f>IS!D54/IS!D27</f>
        <v>-6.6948414169528125E-3</v>
      </c>
      <c r="F169" s="309">
        <f>IS!E54/IS!E27</f>
        <v>-4.5390501129677751E-3</v>
      </c>
      <c r="G169" s="309">
        <f>IS!F54/IS!F27</f>
        <v>-4.6346647516217077E-3</v>
      </c>
      <c r="H169" s="309">
        <f>IS!G54/IS!G27</f>
        <v>-1.7719096985115434E-3</v>
      </c>
      <c r="I169" s="309">
        <f>IS!H54/IS!H27</f>
        <v>-1.5187013243414505E-2</v>
      </c>
      <c r="J169" s="309">
        <f>IS!I54/IS!I27</f>
        <v>-1.7130531056138966E-2</v>
      </c>
      <c r="K169" s="309">
        <f>IS!J54/IS!J27</f>
        <v>-1.0287465818368735E-2</v>
      </c>
      <c r="L169" s="309">
        <f>IS!K54/IS!K27</f>
        <v>-1.4654898880929452E-2</v>
      </c>
      <c r="M169" s="309">
        <f>IS!L54/IS!L27</f>
        <v>-2.0368339671769476E-2</v>
      </c>
      <c r="N169" s="461"/>
      <c r="O169" s="461"/>
      <c r="P169" s="461"/>
      <c r="Q169" s="461"/>
      <c r="R169" s="461"/>
      <c r="S169" s="461"/>
      <c r="T169" s="461"/>
    </row>
    <row r="170" spans="2:20" ht="15" customHeight="1">
      <c r="B170" s="113"/>
      <c r="C170" s="113"/>
      <c r="D170" s="113"/>
      <c r="E170" s="113"/>
      <c r="F170" s="113"/>
      <c r="G170" s="113"/>
      <c r="H170" s="113"/>
      <c r="I170" s="113"/>
      <c r="J170" s="113"/>
      <c r="K170" s="113"/>
      <c r="L170" s="113"/>
      <c r="M170" s="113"/>
      <c r="N170" s="113"/>
      <c r="O170" s="113"/>
      <c r="P170" s="113"/>
      <c r="Q170" s="113"/>
      <c r="R170" s="113"/>
      <c r="S170" s="113"/>
      <c r="T170" s="113"/>
    </row>
    <row r="171" spans="2:20" ht="15" customHeight="1"/>
    <row r="172" spans="2:20" ht="15" customHeight="1">
      <c r="B172" s="302" t="s">
        <v>377</v>
      </c>
      <c r="C172" s="302"/>
      <c r="D172" s="302"/>
      <c r="E172" s="303"/>
      <c r="F172" s="303"/>
      <c r="G172" s="303"/>
      <c r="H172" s="303"/>
      <c r="I172" s="303"/>
      <c r="J172" s="303"/>
      <c r="K172" s="303"/>
      <c r="L172" s="303"/>
      <c r="M172" s="303"/>
      <c r="N172" s="303"/>
      <c r="O172" s="303"/>
      <c r="P172" s="303"/>
      <c r="Q172" s="303"/>
      <c r="R172" s="303"/>
      <c r="S172" s="303"/>
      <c r="T172" s="303"/>
    </row>
    <row r="174" spans="2:20">
      <c r="B174" s="85" t="s">
        <v>134</v>
      </c>
      <c r="C174" s="125"/>
      <c r="D174" s="204" t="s">
        <v>21</v>
      </c>
      <c r="E174" s="309">
        <f>NOPAT!D17/290308</f>
        <v>-0.83972195048017972</v>
      </c>
      <c r="F174" s="309">
        <f>NOPAT!E17/IS!D74</f>
        <v>-0.65824147777189002</v>
      </c>
      <c r="G174" s="309">
        <f>NOPAT!F17/IS!E74</f>
        <v>-0.57729694783792007</v>
      </c>
      <c r="H174" s="309">
        <f>NOPAT!G17/IS!F74</f>
        <v>-0.13655234892518314</v>
      </c>
      <c r="I174" s="309">
        <f>NOPAT!H17/IS!G74</f>
        <v>-0.55024998622966159</v>
      </c>
      <c r="J174" s="309">
        <f>NOPAT!I17/IS!H74</f>
        <v>-0.45096590309300116</v>
      </c>
      <c r="K174" s="309">
        <f>NOPAT!J17/IS!I74</f>
        <v>-0.41288334306255969</v>
      </c>
      <c r="L174" s="309">
        <f>NOPAT!K17/IS!J74</f>
        <v>-0.32747319881422621</v>
      </c>
      <c r="M174" s="309">
        <f>NOPAT!L17/IS!K74</f>
        <v>-0.5776894324389843</v>
      </c>
      <c r="N174" s="463"/>
      <c r="O174" s="463"/>
      <c r="P174" s="463"/>
      <c r="Q174" s="463"/>
      <c r="R174" s="463"/>
      <c r="S174" s="463"/>
      <c r="T174" s="463"/>
    </row>
    <row r="175" spans="2:20">
      <c r="B175" s="126"/>
      <c r="C175" s="126"/>
      <c r="D175" s="126"/>
      <c r="E175" s="126"/>
      <c r="F175" s="126"/>
      <c r="G175" s="126"/>
      <c r="H175" s="126"/>
      <c r="I175" s="126"/>
      <c r="J175" s="126"/>
      <c r="K175" s="126"/>
      <c r="L175" s="126"/>
      <c r="M175" s="126"/>
      <c r="N175" s="126"/>
      <c r="O175" s="126"/>
      <c r="P175" s="126"/>
      <c r="Q175" s="126"/>
      <c r="R175" s="126"/>
      <c r="S175" s="126"/>
      <c r="T175" s="126"/>
    </row>
    <row r="177" spans="2:20">
      <c r="B177" s="302" t="s">
        <v>39</v>
      </c>
      <c r="C177" s="302"/>
      <c r="D177" s="302"/>
      <c r="E177" s="303"/>
      <c r="F177" s="303"/>
      <c r="G177" s="303"/>
      <c r="H177" s="303"/>
      <c r="I177" s="303"/>
      <c r="J177" s="303"/>
      <c r="K177" s="303"/>
      <c r="L177" s="303"/>
      <c r="M177" s="303"/>
      <c r="N177" s="303"/>
      <c r="O177" s="303"/>
      <c r="P177" s="303"/>
      <c r="Q177" s="303"/>
      <c r="R177" s="303"/>
      <c r="S177" s="303"/>
      <c r="T177" s="303"/>
    </row>
    <row r="179" spans="2:20">
      <c r="B179" s="85" t="s">
        <v>135</v>
      </c>
      <c r="C179" s="125"/>
      <c r="D179" s="293" t="s">
        <v>66</v>
      </c>
      <c r="E179" s="346">
        <f>IS!D66</f>
        <v>-115516.77099999999</v>
      </c>
      <c r="F179" s="346">
        <f>IS!E66</f>
        <v>-99919.386030000009</v>
      </c>
      <c r="G179" s="346">
        <f>IS!F66</f>
        <v>-106802.69625000001</v>
      </c>
      <c r="H179" s="346">
        <f>IS!G66</f>
        <v>-104242.37611999999</v>
      </c>
      <c r="I179" s="346">
        <f>IS!H66</f>
        <v>-91506.461360000001</v>
      </c>
      <c r="J179" s="346">
        <f>IS!I66</f>
        <v>-111230.63186295109</v>
      </c>
      <c r="K179" s="346">
        <f>IS!J66</f>
        <v>-105811</v>
      </c>
      <c r="L179" s="346">
        <v>-108808.78627021602</v>
      </c>
      <c r="M179" s="346">
        <f>L179*M180+L179</f>
        <v>-108808.78627021602</v>
      </c>
      <c r="N179" s="559">
        <f t="shared" ref="N179:T179" si="41">M179*N180+M179</f>
        <v>-93575.556192385775</v>
      </c>
      <c r="O179" s="559">
        <f t="shared" si="41"/>
        <v>-80474.978325451768</v>
      </c>
      <c r="P179" s="559">
        <f t="shared" si="41"/>
        <v>-69208.481359888523</v>
      </c>
      <c r="Q179" s="559">
        <f t="shared" si="41"/>
        <v>-59519.293969504128</v>
      </c>
      <c r="R179" s="559">
        <f t="shared" si="41"/>
        <v>-51186.592813773546</v>
      </c>
      <c r="S179" s="559">
        <f t="shared" si="41"/>
        <v>-44020.469819845246</v>
      </c>
      <c r="T179" s="559">
        <f t="shared" si="41"/>
        <v>-37857.60404506691</v>
      </c>
    </row>
    <row r="180" spans="2:20">
      <c r="B180" s="85" t="s">
        <v>136</v>
      </c>
      <c r="C180" s="292"/>
      <c r="D180" s="293" t="s">
        <v>21</v>
      </c>
      <c r="E180" s="354">
        <v>0</v>
      </c>
      <c r="F180" s="354">
        <v>0</v>
      </c>
      <c r="G180" s="354">
        <v>0</v>
      </c>
      <c r="H180" s="354">
        <v>0</v>
      </c>
      <c r="I180" s="354">
        <v>0</v>
      </c>
      <c r="J180" s="308">
        <v>0</v>
      </c>
      <c r="K180" s="308">
        <v>0</v>
      </c>
      <c r="L180" s="308">
        <v>0</v>
      </c>
      <c r="M180" s="308">
        <v>0</v>
      </c>
      <c r="N180" s="560">
        <v>-0.14000000000000001</v>
      </c>
      <c r="O180" s="560">
        <v>-0.14000000000000001</v>
      </c>
      <c r="P180" s="560">
        <v>-0.14000000000000001</v>
      </c>
      <c r="Q180" s="560">
        <v>-0.14000000000000001</v>
      </c>
      <c r="R180" s="560">
        <v>-0.14000000000000001</v>
      </c>
      <c r="S180" s="560">
        <v>-0.14000000000000001</v>
      </c>
      <c r="T180" s="560">
        <v>-0.14000000000000001</v>
      </c>
    </row>
    <row r="181" spans="2:20">
      <c r="B181" s="85" t="s">
        <v>137</v>
      </c>
      <c r="C181" s="292"/>
      <c r="D181" s="293" t="s">
        <v>66</v>
      </c>
      <c r="E181" s="308">
        <v>0</v>
      </c>
      <c r="F181" s="308">
        <v>0</v>
      </c>
      <c r="G181" s="308">
        <v>0</v>
      </c>
      <c r="H181" s="308">
        <v>0</v>
      </c>
      <c r="I181" s="308">
        <v>0</v>
      </c>
      <c r="J181" s="354">
        <v>0</v>
      </c>
      <c r="K181" s="308">
        <v>0</v>
      </c>
      <c r="L181" s="308">
        <v>0</v>
      </c>
      <c r="M181" s="308" t="e">
        <f>-(IS!K71*M174)/M182</f>
        <v>#DIV/0!</v>
      </c>
      <c r="N181" s="464">
        <f>-(IS!L71*N174)/N182</f>
        <v>0</v>
      </c>
      <c r="O181" s="464">
        <f>-(IS!M71*O174)/O182</f>
        <v>0</v>
      </c>
      <c r="P181" s="464" t="e">
        <f>-(IS!N71*P174)/P182</f>
        <v>#DIV/0!</v>
      </c>
      <c r="Q181" s="464" t="e">
        <f>-(IS!O71*Q174)/Q182</f>
        <v>#DIV/0!</v>
      </c>
      <c r="R181" s="464" t="e">
        <f>-(IS!P71*R174)/R182</f>
        <v>#DIV/0!</v>
      </c>
      <c r="S181" s="464" t="e">
        <f>-(IS!Q71*S174)/S182</f>
        <v>#DIV/0!</v>
      </c>
      <c r="T181" s="464" t="e">
        <f>-(IS!R71*T174)/T182</f>
        <v>#DIV/0!</v>
      </c>
    </row>
    <row r="182" spans="2:20">
      <c r="B182" s="85" t="s">
        <v>138</v>
      </c>
      <c r="C182" s="292"/>
      <c r="D182" s="293" t="s">
        <v>66</v>
      </c>
      <c r="E182" s="308">
        <v>0</v>
      </c>
      <c r="F182" s="308">
        <v>0</v>
      </c>
      <c r="G182" s="308">
        <v>0</v>
      </c>
      <c r="H182" s="308">
        <v>0</v>
      </c>
      <c r="I182" s="308">
        <v>0</v>
      </c>
      <c r="J182" s="308">
        <v>0</v>
      </c>
      <c r="K182" s="308">
        <v>0</v>
      </c>
      <c r="L182" s="308">
        <v>0</v>
      </c>
      <c r="M182" s="354">
        <v>0</v>
      </c>
      <c r="N182" s="464">
        <v>12</v>
      </c>
      <c r="O182" s="464">
        <v>12</v>
      </c>
      <c r="P182" s="464">
        <v>12</v>
      </c>
      <c r="Q182" s="464">
        <v>12</v>
      </c>
      <c r="R182" s="464">
        <v>12</v>
      </c>
      <c r="S182" s="464">
        <v>12</v>
      </c>
      <c r="T182" s="464">
        <v>12</v>
      </c>
    </row>
    <row r="183" spans="2:20">
      <c r="B183" s="126"/>
      <c r="C183" s="126"/>
      <c r="D183" s="126"/>
      <c r="E183" s="126"/>
      <c r="F183" s="126"/>
      <c r="G183" s="126"/>
      <c r="H183" s="126"/>
      <c r="I183" s="126"/>
      <c r="J183" s="126"/>
      <c r="K183" s="126"/>
      <c r="L183" s="126"/>
      <c r="M183" s="126"/>
      <c r="N183" s="126"/>
      <c r="O183" s="126"/>
      <c r="P183" s="126"/>
      <c r="Q183" s="126"/>
      <c r="R183" s="126"/>
      <c r="S183" s="126"/>
      <c r="T183" s="126"/>
    </row>
    <row r="185" spans="2:20">
      <c r="B185" s="302" t="s">
        <v>139</v>
      </c>
      <c r="C185" s="302"/>
      <c r="D185" s="302"/>
      <c r="E185" s="303"/>
      <c r="F185" s="303"/>
      <c r="G185" s="303"/>
      <c r="H185" s="303"/>
      <c r="I185" s="303"/>
      <c r="J185" s="303"/>
      <c r="K185" s="303"/>
      <c r="L185" s="303"/>
      <c r="M185" s="303"/>
      <c r="N185" s="303"/>
      <c r="O185" s="303"/>
      <c r="P185" s="303"/>
      <c r="Q185" s="303"/>
      <c r="R185" s="303"/>
      <c r="S185" s="303"/>
      <c r="T185" s="303"/>
    </row>
    <row r="187" spans="2:20">
      <c r="B187" s="85" t="s">
        <v>140</v>
      </c>
      <c r="C187" s="125"/>
      <c r="D187" s="204" t="s">
        <v>21</v>
      </c>
      <c r="E187" s="309">
        <f>IS!D49/IS!D27</f>
        <v>-5.8769151290369734E-2</v>
      </c>
      <c r="F187" s="309">
        <f>IS!E49/IS!E27</f>
        <v>-6.2638708651147748E-2</v>
      </c>
      <c r="G187" s="309">
        <f>IS!F49/IS!F27</f>
        <v>-5.3744479596527672E-2</v>
      </c>
      <c r="H187" s="309">
        <f>IS!G49/IS!G27</f>
        <v>-6.0920293997185383E-2</v>
      </c>
      <c r="I187" s="309">
        <f>IS!H49/IS!H27</f>
        <v>-4.8549309724586466E-2</v>
      </c>
      <c r="J187" s="309">
        <f>IS!I49/IS!I27</f>
        <v>-5.6533429178373847E-2</v>
      </c>
      <c r="K187" s="309">
        <f>IS!J49/IS!J27</f>
        <v>-6.0322532243464504E-2</v>
      </c>
      <c r="L187" s="309">
        <f>IS!K49/IS!K27</f>
        <v>-5.6161482497541132E-2</v>
      </c>
      <c r="M187" s="309">
        <f>IS!L49/IS!L27</f>
        <v>-4.8222041654965742E-2</v>
      </c>
      <c r="N187" s="461"/>
      <c r="O187" s="461"/>
      <c r="P187" s="461"/>
      <c r="Q187" s="461"/>
      <c r="R187" s="461"/>
      <c r="S187" s="461"/>
      <c r="T187" s="461"/>
    </row>
    <row r="188" spans="2:20">
      <c r="B188" s="126"/>
      <c r="C188" s="126"/>
      <c r="D188" s="126"/>
      <c r="E188" s="126"/>
      <c r="F188" s="126"/>
      <c r="G188" s="126"/>
      <c r="H188" s="126"/>
      <c r="I188" s="126"/>
      <c r="J188" s="126"/>
      <c r="K188" s="126"/>
      <c r="L188" s="126"/>
      <c r="M188" s="126"/>
      <c r="N188" s="126"/>
      <c r="O188" s="126"/>
      <c r="P188" s="126"/>
      <c r="Q188" s="126"/>
      <c r="R188" s="126"/>
      <c r="S188" s="126"/>
      <c r="T188" s="126"/>
    </row>
    <row r="190" spans="2:20">
      <c r="B190" s="302" t="s">
        <v>378</v>
      </c>
      <c r="C190" s="302"/>
      <c r="D190" s="302"/>
      <c r="E190" s="303"/>
      <c r="F190" s="303"/>
      <c r="G190" s="303"/>
      <c r="H190" s="303"/>
      <c r="I190" s="303"/>
      <c r="J190" s="303"/>
      <c r="K190" s="303"/>
      <c r="L190" s="303"/>
      <c r="M190" s="303"/>
      <c r="N190" s="303"/>
      <c r="O190" s="303"/>
      <c r="P190" s="303"/>
      <c r="Q190" s="303"/>
      <c r="R190" s="303"/>
      <c r="S190" s="303"/>
      <c r="T190" s="303"/>
    </row>
    <row r="192" spans="2:20">
      <c r="B192" s="85" t="s">
        <v>141</v>
      </c>
      <c r="C192" s="125"/>
      <c r="D192" s="204" t="s">
        <v>21</v>
      </c>
      <c r="E192" s="309">
        <v>6.5100000000000005E-2</v>
      </c>
      <c r="F192" s="309">
        <v>7.6300000000000007E-2</v>
      </c>
      <c r="G192" s="309">
        <v>0.1072</v>
      </c>
      <c r="H192" s="309">
        <v>0.1207</v>
      </c>
      <c r="I192" s="309">
        <v>7.5700000000000003E-2</v>
      </c>
      <c r="J192" s="309">
        <v>6.6900000000000001E-2</v>
      </c>
      <c r="K192" s="309">
        <v>0.05</v>
      </c>
      <c r="L192" s="309">
        <v>3.1E-2</v>
      </c>
      <c r="M192" s="309">
        <v>0.104</v>
      </c>
      <c r="N192" s="461"/>
      <c r="O192" s="461"/>
      <c r="P192" s="461"/>
      <c r="Q192" s="461"/>
      <c r="R192" s="461"/>
      <c r="S192" s="461"/>
      <c r="T192" s="461"/>
    </row>
    <row r="193" spans="2:20">
      <c r="B193" s="85" t="s">
        <v>142</v>
      </c>
      <c r="C193" s="125"/>
      <c r="D193" s="204" t="s">
        <v>21</v>
      </c>
      <c r="E193" s="309">
        <v>8.0199999999999994E-2</v>
      </c>
      <c r="F193" s="309">
        <v>0.1077</v>
      </c>
      <c r="G193" s="309">
        <v>0.1318</v>
      </c>
      <c r="H193" s="309">
        <v>0.14000000000000001</v>
      </c>
      <c r="I193" s="309">
        <v>9.9299999999999999E-2</v>
      </c>
      <c r="J193" s="309">
        <v>6.4199999999999993E-2</v>
      </c>
      <c r="K193" s="309">
        <v>5.96E-2</v>
      </c>
      <c r="L193" s="309">
        <v>2.75E-2</v>
      </c>
      <c r="M193" s="309">
        <v>4.4200000000000003E-2</v>
      </c>
      <c r="N193" s="465"/>
      <c r="O193" s="465"/>
      <c r="P193" s="465"/>
      <c r="Q193" s="465"/>
      <c r="R193" s="465"/>
      <c r="S193" s="465"/>
      <c r="T193" s="465"/>
    </row>
    <row r="195" spans="2:20">
      <c r="B195" s="302" t="s">
        <v>143</v>
      </c>
      <c r="C195" s="302"/>
      <c r="D195" s="302"/>
      <c r="E195" s="303"/>
      <c r="F195" s="303"/>
      <c r="G195" s="303"/>
      <c r="H195" s="303"/>
      <c r="I195" s="303"/>
      <c r="J195" s="303"/>
      <c r="K195" s="303"/>
      <c r="L195" s="303"/>
      <c r="M195" s="303"/>
      <c r="N195" s="303"/>
      <c r="O195" s="303"/>
      <c r="P195" s="303"/>
      <c r="Q195" s="303"/>
      <c r="R195" s="303"/>
      <c r="S195" s="303"/>
      <c r="T195" s="303"/>
    </row>
    <row r="197" spans="2:20">
      <c r="B197" s="85" t="s">
        <v>144</v>
      </c>
      <c r="C197" s="125"/>
      <c r="D197" s="204" t="s">
        <v>21</v>
      </c>
      <c r="E197" s="309">
        <f>IS!D84/IS!D83</f>
        <v>-0.16171593544021901</v>
      </c>
      <c r="F197" s="309">
        <f>IS!E84/IS!E83</f>
        <v>-0.16404092681692559</v>
      </c>
      <c r="G197" s="309">
        <f>IS!F84/IS!F83</f>
        <v>-0.11427291503573557</v>
      </c>
      <c r="H197" s="309">
        <f>IS!G84/IS!G83</f>
        <v>-4.7587400828022925</v>
      </c>
      <c r="I197" s="309">
        <f>IS!H84/IS!H83</f>
        <v>-0.26293568931659389</v>
      </c>
      <c r="J197" s="309">
        <f>IS!I84/IS!I83</f>
        <v>-0.30522266704180173</v>
      </c>
      <c r="K197" s="309">
        <f>IS!J84/IS!J83</f>
        <v>-0.24024473032758123</v>
      </c>
      <c r="L197" s="309">
        <f>IS!K84/IS!K83</f>
        <v>-0.2586129456995378</v>
      </c>
      <c r="M197" s="309">
        <f>IS!L84/IS!L83</f>
        <v>-0.27112201896623056</v>
      </c>
      <c r="N197" s="461"/>
      <c r="O197" s="461"/>
      <c r="P197" s="461"/>
      <c r="Q197" s="461"/>
      <c r="R197" s="461"/>
      <c r="S197" s="461"/>
      <c r="T197" s="461"/>
    </row>
    <row r="198" spans="2:20">
      <c r="B198" s="126"/>
      <c r="C198" s="126"/>
      <c r="D198" s="126"/>
      <c r="E198" s="126"/>
      <c r="F198" s="126"/>
      <c r="G198" s="126"/>
      <c r="H198" s="126"/>
      <c r="I198" s="126"/>
      <c r="J198" s="126"/>
      <c r="K198" s="126"/>
      <c r="L198" s="126"/>
      <c r="M198" s="126"/>
      <c r="N198" s="126"/>
      <c r="O198" s="126"/>
      <c r="P198" s="126"/>
      <c r="Q198" s="126"/>
      <c r="R198" s="126"/>
      <c r="S198" s="126"/>
      <c r="T198" s="126"/>
    </row>
    <row r="200" spans="2:20">
      <c r="B200" s="302" t="s">
        <v>145</v>
      </c>
      <c r="C200" s="302"/>
      <c r="D200" s="302"/>
      <c r="E200" s="303"/>
      <c r="F200" s="303"/>
      <c r="G200" s="303"/>
      <c r="H200" s="303"/>
      <c r="I200" s="303"/>
      <c r="J200" s="303"/>
      <c r="K200" s="303"/>
      <c r="L200" s="303"/>
      <c r="M200" s="303"/>
      <c r="N200" s="303"/>
      <c r="O200" s="303"/>
      <c r="P200" s="303"/>
      <c r="Q200" s="303"/>
      <c r="R200" s="303"/>
      <c r="S200" s="303"/>
      <c r="T200" s="303"/>
    </row>
    <row r="201" spans="2:20" ht="9.75" customHeight="1">
      <c r="B201" s="211"/>
    </row>
    <row r="202" spans="2:20">
      <c r="B202" s="166" t="s">
        <v>146</v>
      </c>
      <c r="D202" s="525" t="s">
        <v>361</v>
      </c>
      <c r="E202" s="466">
        <f>WC!E35</f>
        <v>28.213500319936312</v>
      </c>
      <c r="F202" s="466">
        <f>WC!F35</f>
        <v>37.988890207075897</v>
      </c>
      <c r="G202" s="466">
        <f>WC!G35</f>
        <v>47.917502552856945</v>
      </c>
      <c r="H202" s="466">
        <f>WC!H35</f>
        <v>41.69533824916163</v>
      </c>
      <c r="I202" s="466">
        <f>WC!I35</f>
        <v>49.059024662149518</v>
      </c>
      <c r="J202" s="466">
        <f>WC!J35</f>
        <v>22.55959459933004</v>
      </c>
      <c r="K202" s="466">
        <f>WC!K35</f>
        <v>25.326614618115094</v>
      </c>
      <c r="L202" s="466">
        <f>WC!L35</f>
        <v>24.090632356607017</v>
      </c>
      <c r="M202" s="466">
        <f>WC!M35</f>
        <v>20.148625485622787</v>
      </c>
      <c r="N202" s="467"/>
      <c r="O202" s="467"/>
      <c r="P202" s="467"/>
      <c r="Q202" s="467"/>
      <c r="R202" s="467"/>
      <c r="S202" s="467"/>
      <c r="T202" s="467"/>
    </row>
    <row r="203" spans="2:20">
      <c r="B203" s="166" t="s">
        <v>147</v>
      </c>
      <c r="D203" s="525" t="s">
        <v>361</v>
      </c>
      <c r="E203" s="466">
        <f>WC!E36</f>
        <v>-1.7450354452928947</v>
      </c>
      <c r="F203" s="466">
        <f>WC!F36</f>
        <v>-2.3613737080143173</v>
      </c>
      <c r="G203" s="466">
        <f>WC!G36</f>
        <v>-5.5979824514329897</v>
      </c>
      <c r="H203" s="466">
        <f>WC!H36</f>
        <v>-22.464352840932552</v>
      </c>
      <c r="I203" s="466">
        <f>WC!I36</f>
        <v>-9.1334291865327693</v>
      </c>
      <c r="J203" s="466">
        <f>WC!J36</f>
        <v>1.4611447401387496</v>
      </c>
      <c r="K203" s="466">
        <f>WC!K36</f>
        <v>4.6398647581540526</v>
      </c>
      <c r="L203" s="466">
        <f>WC!L36</f>
        <v>7.3676627266567714</v>
      </c>
      <c r="M203" s="466">
        <f>WC!M36</f>
        <v>5.7215730453354832</v>
      </c>
      <c r="N203" s="467"/>
      <c r="O203" s="467"/>
      <c r="P203" s="467"/>
      <c r="Q203" s="467"/>
      <c r="R203" s="467"/>
      <c r="S203" s="467"/>
      <c r="T203" s="467"/>
    </row>
    <row r="204" spans="2:20">
      <c r="B204" s="166" t="s">
        <v>148</v>
      </c>
      <c r="D204" s="525" t="s">
        <v>361</v>
      </c>
      <c r="E204" s="466">
        <f>WC!E37</f>
        <v>170.21170953206567</v>
      </c>
      <c r="F204" s="466">
        <f>WC!F37</f>
        <v>164.39267514877068</v>
      </c>
      <c r="G204" s="466">
        <f>WC!G37</f>
        <v>164.37167647626688</v>
      </c>
      <c r="H204" s="466">
        <f>WC!H37</f>
        <v>109.31267399588464</v>
      </c>
      <c r="I204" s="466">
        <f>WC!I37</f>
        <v>110.34592965699808</v>
      </c>
      <c r="J204" s="466">
        <f>WC!J37</f>
        <v>148.94792863788578</v>
      </c>
      <c r="K204" s="466">
        <f>WC!K37</f>
        <v>152.09085999594228</v>
      </c>
      <c r="L204" s="466">
        <f>WC!L37</f>
        <v>151.21301856784672</v>
      </c>
      <c r="M204" s="466">
        <f>WC!M37</f>
        <v>264.91678400464889</v>
      </c>
      <c r="N204" s="467"/>
      <c r="O204" s="467"/>
      <c r="P204" s="467"/>
      <c r="Q204" s="467"/>
      <c r="R204" s="467"/>
      <c r="S204" s="467"/>
      <c r="T204" s="467"/>
    </row>
    <row r="205" spans="2:20">
      <c r="B205" s="166" t="s">
        <v>149</v>
      </c>
      <c r="D205" s="525" t="s">
        <v>361</v>
      </c>
      <c r="E205" s="466">
        <f>WC!E38</f>
        <v>-13.978798527279951</v>
      </c>
      <c r="F205" s="466">
        <f>WC!F38</f>
        <v>-5.3339669087140766</v>
      </c>
      <c r="G205" s="466">
        <f>WC!G38</f>
        <v>-12.222720496458141</v>
      </c>
      <c r="H205" s="466">
        <f>WC!H38</f>
        <v>-2.7176197083460618</v>
      </c>
      <c r="I205" s="466">
        <f>WC!I38</f>
        <v>-14.867494455421978</v>
      </c>
      <c r="J205" s="466">
        <f>WC!J38</f>
        <v>-23.465640651701591</v>
      </c>
      <c r="K205" s="466">
        <f>WC!K38</f>
        <v>-21.479036153415265</v>
      </c>
      <c r="L205" s="466">
        <f>WC!L38</f>
        <v>-13.92293779670624</v>
      </c>
      <c r="M205" s="466">
        <f>WC!M38</f>
        <v>-39.993229485501899</v>
      </c>
      <c r="N205" s="467"/>
      <c r="O205" s="467"/>
      <c r="P205" s="467"/>
      <c r="Q205" s="467"/>
      <c r="R205" s="467"/>
      <c r="S205" s="467"/>
      <c r="T205" s="467"/>
    </row>
    <row r="206" spans="2:20">
      <c r="B206" s="166" t="s">
        <v>150</v>
      </c>
      <c r="D206" s="525" t="s">
        <v>361</v>
      </c>
      <c r="E206" s="466">
        <f>WC!E39</f>
        <v>25.908056560931509</v>
      </c>
      <c r="F206" s="466">
        <f>WC!F39</f>
        <v>26.046459367070188</v>
      </c>
      <c r="G206" s="466">
        <f>WC!G39</f>
        <v>18.770126151298701</v>
      </c>
      <c r="H206" s="466">
        <f>WC!H39</f>
        <v>14.99533699485716</v>
      </c>
      <c r="I206" s="466">
        <f>WC!I39</f>
        <v>8.894727770372219</v>
      </c>
      <c r="J206" s="466">
        <f>WC!J39</f>
        <v>14.910371127684071</v>
      </c>
      <c r="K206" s="466">
        <f>WC!K39</f>
        <v>23.340149449811044</v>
      </c>
      <c r="L206" s="466">
        <f>WC!L39</f>
        <v>17.508695764879722</v>
      </c>
      <c r="M206" s="466">
        <f>WC!M39</f>
        <v>11.477528267827278</v>
      </c>
      <c r="N206" s="467"/>
      <c r="O206" s="467"/>
      <c r="P206" s="467"/>
      <c r="Q206" s="467"/>
      <c r="R206" s="467"/>
      <c r="S206" s="467"/>
      <c r="T206" s="467"/>
    </row>
    <row r="207" spans="2:20">
      <c r="B207" s="166" t="s">
        <v>151</v>
      </c>
      <c r="D207" s="525" t="s">
        <v>361</v>
      </c>
      <c r="E207" s="466">
        <f>WC!E40</f>
        <v>125.13504364719591</v>
      </c>
      <c r="F207" s="466">
        <f>WC!F40</f>
        <v>98.929296980386738</v>
      </c>
      <c r="G207" s="466">
        <f>WC!G40</f>
        <v>89.038370606419733</v>
      </c>
      <c r="H207" s="466">
        <f>WC!H40</f>
        <v>117.12170130468456</v>
      </c>
      <c r="I207" s="466">
        <f>WC!I40</f>
        <v>101.33126992509715</v>
      </c>
      <c r="J207" s="466">
        <f>WC!J40</f>
        <v>120.97148733423754</v>
      </c>
      <c r="K207" s="466">
        <f>WC!K40</f>
        <v>110.71352731957451</v>
      </c>
      <c r="L207" s="466">
        <f>WC!L40</f>
        <v>103.59384256992334</v>
      </c>
      <c r="M207" s="466">
        <f>WC!M40</f>
        <v>141.73240109893268</v>
      </c>
      <c r="N207" s="467"/>
      <c r="O207" s="467"/>
      <c r="P207" s="467"/>
      <c r="Q207" s="467"/>
      <c r="R207" s="467"/>
      <c r="S207" s="467"/>
      <c r="T207" s="467"/>
    </row>
    <row r="208" spans="2:20">
      <c r="B208" s="166" t="s">
        <v>152</v>
      </c>
      <c r="D208" s="525" t="s">
        <v>361</v>
      </c>
      <c r="E208" s="466">
        <f>WC!E41</f>
        <v>-8.9298337138908277</v>
      </c>
      <c r="F208" s="466">
        <f>WC!F41</f>
        <v>-4.6730676647857194</v>
      </c>
      <c r="G208" s="466">
        <f>WC!G41</f>
        <v>-6.5564417765197378</v>
      </c>
      <c r="H208" s="466">
        <f>WC!H41</f>
        <v>-11.392069451350938</v>
      </c>
      <c r="I208" s="466">
        <f>WC!I41</f>
        <v>-4.0869867471515109</v>
      </c>
      <c r="J208" s="466">
        <f>WC!J41</f>
        <v>-11.31478245541482</v>
      </c>
      <c r="K208" s="466">
        <f>WC!K41</f>
        <v>-12.248709186851302</v>
      </c>
      <c r="L208" s="466">
        <f>WC!L41</f>
        <v>10.235320411923672</v>
      </c>
      <c r="M208" s="466">
        <f>WC!M41</f>
        <v>-35.438467159960034</v>
      </c>
      <c r="N208" s="467"/>
      <c r="O208" s="467"/>
      <c r="P208" s="467"/>
      <c r="Q208" s="467"/>
      <c r="R208" s="467"/>
      <c r="S208" s="467"/>
      <c r="T208" s="467"/>
    </row>
    <row r="209" spans="2:20">
      <c r="B209" s="166" t="s">
        <v>153</v>
      </c>
      <c r="D209" s="525" t="s">
        <v>361</v>
      </c>
      <c r="E209" s="466">
        <f>WC!E42</f>
        <v>1.2540582500939654</v>
      </c>
      <c r="F209" s="466">
        <f>WC!F42</f>
        <v>0.71665683707865124</v>
      </c>
      <c r="G209" s="466">
        <f>WC!G42</f>
        <v>1.1492685921726424</v>
      </c>
      <c r="H209" s="466">
        <f>WC!H42</f>
        <v>1.7351146752782554</v>
      </c>
      <c r="I209" s="466">
        <f>WC!I42</f>
        <v>1.6185971027639958</v>
      </c>
      <c r="J209" s="466">
        <f>WC!J42</f>
        <v>0.86780876743605684</v>
      </c>
      <c r="K209" s="466">
        <f>WC!K42</f>
        <v>11.235672994396667</v>
      </c>
      <c r="L209" s="466">
        <f>WC!L42</f>
        <v>6.7583486676587405</v>
      </c>
      <c r="M209" s="466">
        <f>WC!M42</f>
        <v>1.2907686225781647</v>
      </c>
      <c r="N209" s="467"/>
      <c r="O209" s="467"/>
      <c r="P209" s="467"/>
      <c r="Q209" s="467"/>
      <c r="R209" s="467"/>
      <c r="S209" s="467"/>
      <c r="T209" s="467"/>
    </row>
    <row r="210" spans="2:20">
      <c r="B210" s="166" t="s">
        <v>154</v>
      </c>
      <c r="D210" s="525" t="s">
        <v>361</v>
      </c>
      <c r="E210" s="466">
        <f>WC!E43</f>
        <v>78.099097722764625</v>
      </c>
      <c r="F210" s="466">
        <f>WC!F43</f>
        <v>82.647815526505127</v>
      </c>
      <c r="G210" s="466">
        <f>WC!G43</f>
        <v>83.817383557136623</v>
      </c>
      <c r="H210" s="466">
        <f>WC!H43</f>
        <v>98.820185433685211</v>
      </c>
      <c r="I210" s="466">
        <f>WC!I43</f>
        <v>82.158431177058603</v>
      </c>
      <c r="J210" s="466">
        <f>WC!J43</f>
        <v>120.65829972434226</v>
      </c>
      <c r="K210" s="466">
        <f>WC!K43</f>
        <v>130.8882225906645</v>
      </c>
      <c r="L210" s="466">
        <f>WC!L43</f>
        <v>122.33318174096411</v>
      </c>
      <c r="M210" s="466">
        <f>WC!M43</f>
        <v>91.586609062635887</v>
      </c>
      <c r="N210" s="467"/>
      <c r="O210" s="467"/>
      <c r="P210" s="467"/>
      <c r="Q210" s="467"/>
      <c r="R210" s="467"/>
      <c r="S210" s="467"/>
      <c r="T210" s="467"/>
    </row>
    <row r="211" spans="2:20">
      <c r="B211" s="166" t="s">
        <v>155</v>
      </c>
      <c r="D211" s="525" t="s">
        <v>361</v>
      </c>
      <c r="E211" s="466">
        <f>WC!E44</f>
        <v>9.0855577939842256</v>
      </c>
      <c r="F211" s="466">
        <f>WC!F44</f>
        <v>6.4134444822635945</v>
      </c>
      <c r="G211" s="466">
        <f>WC!G44</f>
        <v>4.3005634921947573</v>
      </c>
      <c r="H211" s="466">
        <f>WC!H44</f>
        <v>5.2368057606539553</v>
      </c>
      <c r="I211" s="466">
        <f>WC!I44</f>
        <v>10.022553211500925</v>
      </c>
      <c r="J211" s="466">
        <f>WC!J44</f>
        <v>15.033841708307888</v>
      </c>
      <c r="K211" s="466">
        <f>WC!K44</f>
        <v>15.911312012710273</v>
      </c>
      <c r="L211" s="466">
        <f>WC!L44</f>
        <v>8.1752472411630581</v>
      </c>
      <c r="M211" s="466">
        <f>WC!M44</f>
        <v>3.8575107222598248</v>
      </c>
      <c r="N211" s="467"/>
      <c r="O211" s="467"/>
      <c r="P211" s="467"/>
      <c r="Q211" s="467"/>
      <c r="R211" s="467"/>
      <c r="S211" s="467"/>
      <c r="T211" s="467"/>
    </row>
    <row r="212" spans="2:20">
      <c r="B212" s="166" t="s">
        <v>156</v>
      </c>
      <c r="D212" s="525" t="s">
        <v>361</v>
      </c>
      <c r="E212" s="466">
        <f>WC!E45</f>
        <v>73.876032595306086</v>
      </c>
      <c r="F212" s="466">
        <f>WC!F45</f>
        <v>54.91039483920401</v>
      </c>
      <c r="G212" s="466">
        <f>WC!G45</f>
        <v>79.118179999234883</v>
      </c>
      <c r="H212" s="466">
        <f>WC!H45</f>
        <v>45.995932672267443</v>
      </c>
      <c r="I212" s="466">
        <f>WC!I45</f>
        <v>54.958288554874123</v>
      </c>
      <c r="J212" s="466">
        <f>WC!J45</f>
        <v>17.304789906537618</v>
      </c>
      <c r="K212" s="466">
        <f>WC!K45</f>
        <v>8.641613248779576</v>
      </c>
      <c r="L212" s="466">
        <f>WC!L45</f>
        <v>48.478164205898672</v>
      </c>
      <c r="M212" s="466">
        <f>WC!M45</f>
        <v>157.5869806521566</v>
      </c>
      <c r="N212" s="467"/>
      <c r="O212" s="467"/>
      <c r="P212" s="467"/>
      <c r="Q212" s="467"/>
      <c r="R212" s="467"/>
      <c r="S212" s="467"/>
      <c r="T212" s="467"/>
    </row>
    <row r="213" spans="2:20">
      <c r="B213" s="166" t="s">
        <v>157</v>
      </c>
      <c r="D213" s="525" t="s">
        <v>361</v>
      </c>
      <c r="E213" s="466">
        <f>WC!E46</f>
        <v>-41.82199954848037</v>
      </c>
      <c r="F213" s="466">
        <f>WC!F46</f>
        <v>-13.130516805900113</v>
      </c>
      <c r="G213" s="466">
        <f>WC!G46</f>
        <v>-15.879197641055686</v>
      </c>
      <c r="H213" s="466">
        <f>WC!H46</f>
        <v>-18.385563648302021</v>
      </c>
      <c r="I213" s="466">
        <f>WC!I46</f>
        <v>-3.3989764153445985</v>
      </c>
      <c r="J213" s="466">
        <f>WC!J46</f>
        <v>0</v>
      </c>
      <c r="K213" s="466">
        <f>WC!K46</f>
        <v>0</v>
      </c>
      <c r="L213" s="466">
        <f>WC!L46</f>
        <v>0</v>
      </c>
      <c r="M213" s="466">
        <f>WC!M46</f>
        <v>8.4790851255544446</v>
      </c>
      <c r="N213" s="467"/>
      <c r="O213" s="467"/>
      <c r="P213" s="467"/>
      <c r="Q213" s="467"/>
      <c r="R213" s="467"/>
      <c r="S213" s="467"/>
      <c r="T213" s="467"/>
    </row>
    <row r="214" spans="2:20">
      <c r="B214" s="166" t="s">
        <v>147</v>
      </c>
      <c r="D214" s="525" t="s">
        <v>361</v>
      </c>
      <c r="E214" s="466">
        <f>WC!E47</f>
        <v>-10.392515943897603</v>
      </c>
      <c r="F214" s="466">
        <f>WC!F47</f>
        <v>-13.648983145999049</v>
      </c>
      <c r="G214" s="466">
        <f>WC!G47</f>
        <v>-25.331401202204976</v>
      </c>
      <c r="H214" s="466">
        <f>WC!H47</f>
        <v>-12.72042884075254</v>
      </c>
      <c r="I214" s="466">
        <f>WC!I47</f>
        <v>-8.2505051983480051</v>
      </c>
      <c r="J214" s="466">
        <f>WC!J47</f>
        <v>0</v>
      </c>
      <c r="K214" s="466">
        <f>WC!K47</f>
        <v>0</v>
      </c>
      <c r="L214" s="466">
        <f>WC!L47</f>
        <v>0</v>
      </c>
      <c r="M214" s="466">
        <f>WC!M47</f>
        <v>0</v>
      </c>
      <c r="N214" s="467"/>
      <c r="O214" s="467"/>
      <c r="P214" s="467"/>
      <c r="Q214" s="467"/>
      <c r="R214" s="467"/>
      <c r="S214" s="467"/>
      <c r="T214" s="467"/>
    </row>
    <row r="215" spans="2:20">
      <c r="B215" s="156" t="s">
        <v>158</v>
      </c>
      <c r="C215" s="113"/>
      <c r="D215" s="526" t="s">
        <v>361</v>
      </c>
      <c r="E215" s="468">
        <f>WC!E48</f>
        <v>5.3518167398552636</v>
      </c>
      <c r="F215" s="468">
        <f>WC!F48</f>
        <v>4.6836378246246371</v>
      </c>
      <c r="G215" s="468">
        <f>WC!G48</f>
        <v>4.2900563739631554</v>
      </c>
      <c r="H215" s="468">
        <f>WC!H48</f>
        <v>3.3758441460989448</v>
      </c>
      <c r="I215" s="468">
        <f>WC!I48</f>
        <v>8.1049980850877983</v>
      </c>
      <c r="J215" s="468">
        <f>WC!J48</f>
        <v>0</v>
      </c>
      <c r="K215" s="468">
        <f>WC!K48</f>
        <v>8.6397677512316626</v>
      </c>
      <c r="L215" s="468">
        <f>WC!L48</f>
        <v>10.069706556945036</v>
      </c>
      <c r="M215" s="468">
        <f>WC!M48</f>
        <v>12.138654672099399</v>
      </c>
      <c r="N215" s="469"/>
      <c r="O215" s="469"/>
      <c r="P215" s="469"/>
      <c r="Q215" s="469"/>
      <c r="R215" s="469"/>
      <c r="S215" s="469"/>
      <c r="T215" s="469"/>
    </row>
    <row r="217" spans="2:20">
      <c r="B217" s="302" t="s">
        <v>172</v>
      </c>
      <c r="C217" s="302"/>
      <c r="D217" s="302"/>
      <c r="E217" s="303"/>
      <c r="F217" s="303"/>
      <c r="G217" s="303"/>
      <c r="H217" s="303"/>
      <c r="I217" s="303"/>
      <c r="J217" s="303"/>
      <c r="K217" s="303"/>
      <c r="L217" s="303"/>
      <c r="M217" s="303"/>
      <c r="N217" s="303"/>
      <c r="O217" s="303"/>
      <c r="P217" s="303"/>
      <c r="Q217" s="303"/>
      <c r="R217" s="303"/>
      <c r="S217" s="303"/>
      <c r="T217" s="303"/>
    </row>
    <row r="218" spans="2:20" ht="8.25" customHeight="1"/>
    <row r="219" spans="2:20">
      <c r="B219" s="3" t="s">
        <v>160</v>
      </c>
      <c r="C219" s="4"/>
      <c r="D219" s="476" t="s">
        <v>66</v>
      </c>
      <c r="E219" s="489">
        <f>146291165.92/1000</f>
        <v>146291.16592</v>
      </c>
      <c r="F219" s="489">
        <v>163170.557</v>
      </c>
      <c r="G219" s="489">
        <v>279831</v>
      </c>
      <c r="H219" s="489">
        <v>57704.252999999997</v>
      </c>
      <c r="I219" s="489">
        <v>361845.25199999998</v>
      </c>
      <c r="J219" s="489">
        <v>724291</v>
      </c>
      <c r="K219" s="489">
        <v>504751</v>
      </c>
      <c r="L219" s="489">
        <v>775533.05365000013</v>
      </c>
      <c r="M219" s="489">
        <v>1767201</v>
      </c>
      <c r="N219" s="487"/>
      <c r="O219" s="487"/>
      <c r="P219" s="487"/>
      <c r="Q219" s="487"/>
      <c r="R219" s="487"/>
      <c r="S219" s="487"/>
      <c r="T219" s="487"/>
    </row>
    <row r="220" spans="2:20">
      <c r="B220" s="3" t="s">
        <v>161</v>
      </c>
      <c r="C220" s="4"/>
      <c r="D220" s="476" t="s">
        <v>66</v>
      </c>
      <c r="E220" s="489">
        <v>-114026.01609</v>
      </c>
      <c r="F220" s="489">
        <v>-192599.46647000001</v>
      </c>
      <c r="G220" s="489">
        <v>-227270.20925000001</v>
      </c>
      <c r="H220" s="489">
        <v>-84932.437999999995</v>
      </c>
      <c r="I220" s="489">
        <v>-327300.47373000003</v>
      </c>
      <c r="J220" s="489">
        <v>-619276</v>
      </c>
      <c r="K220" s="489">
        <v>-524266</v>
      </c>
      <c r="L220" s="489">
        <v>-750996.04168999987</v>
      </c>
      <c r="M220" s="489">
        <v>-1351521.64</v>
      </c>
      <c r="N220" s="487"/>
      <c r="O220" s="487"/>
      <c r="P220" s="487"/>
      <c r="Q220" s="487"/>
      <c r="R220" s="487"/>
      <c r="S220" s="487"/>
      <c r="T220" s="487"/>
    </row>
    <row r="221" spans="2:20" ht="8.25" customHeight="1">
      <c r="B221" s="113"/>
      <c r="C221" s="113"/>
      <c r="D221" s="113"/>
      <c r="E221" s="113"/>
      <c r="F221" s="113"/>
      <c r="G221" s="113"/>
      <c r="H221" s="113"/>
      <c r="I221" s="113"/>
      <c r="J221" s="113"/>
      <c r="K221" s="113"/>
      <c r="L221" s="113"/>
      <c r="M221" s="113"/>
      <c r="N221" s="113"/>
      <c r="O221" s="113"/>
      <c r="P221" s="113"/>
      <c r="Q221" s="113"/>
      <c r="R221" s="113"/>
      <c r="S221" s="113"/>
      <c r="T221" s="113"/>
    </row>
    <row r="223" spans="2:20">
      <c r="B223" s="302" t="s">
        <v>173</v>
      </c>
      <c r="C223" s="302"/>
      <c r="D223" s="302"/>
      <c r="E223" s="303"/>
      <c r="F223" s="303"/>
      <c r="G223" s="303"/>
      <c r="H223" s="303"/>
      <c r="I223" s="303"/>
      <c r="J223" s="303"/>
      <c r="K223" s="303"/>
      <c r="L223" s="303"/>
      <c r="M223" s="303"/>
      <c r="N223" s="303"/>
      <c r="O223" s="303"/>
      <c r="P223" s="303"/>
      <c r="Q223" s="303"/>
      <c r="R223" s="303"/>
      <c r="S223" s="303"/>
      <c r="T223" s="303"/>
    </row>
    <row r="224" spans="2:20" ht="9" customHeight="1"/>
    <row r="225" spans="2:20">
      <c r="B225" s="3" t="s">
        <v>163</v>
      </c>
      <c r="C225" s="4"/>
      <c r="D225" s="477" t="s">
        <v>21</v>
      </c>
      <c r="E225" s="492">
        <f>NOPAT!D15/IS!D84</f>
        <v>0.84733002277141745</v>
      </c>
      <c r="F225" s="492">
        <f>NOPAT!E15/IS!E84</f>
        <v>1.8866495986829463</v>
      </c>
      <c r="G225" s="492">
        <f>NOPAT!F15/IS!F84</f>
        <v>0.57620495318916498</v>
      </c>
      <c r="H225" s="492">
        <f>NOPAT!G15/IS!G84</f>
        <v>-1.0987881100412327</v>
      </c>
      <c r="I225" s="492">
        <f>NOPAT!H15/IS!H84</f>
        <v>9.7860715676912596E-2</v>
      </c>
      <c r="J225" s="492">
        <f>NOPAT!I15/IS!I84</f>
        <v>0.44857206854071002</v>
      </c>
      <c r="K225" s="492">
        <f>NOPAT!J15/IS!J84</f>
        <v>0.31960449708893796</v>
      </c>
      <c r="L225" s="492">
        <f>NOPAT!K15/IS!K84</f>
        <v>0.55689153966526239</v>
      </c>
      <c r="M225" s="492">
        <f>NOPAT!L15/IS!L84</f>
        <v>0.4294767663447937</v>
      </c>
      <c r="N225" s="488"/>
      <c r="O225" s="488"/>
      <c r="P225" s="488"/>
      <c r="Q225" s="488"/>
      <c r="R225" s="488"/>
      <c r="S225" s="488"/>
      <c r="T225" s="488"/>
    </row>
    <row r="226" spans="2:20">
      <c r="B226" s="3" t="s">
        <v>162</v>
      </c>
      <c r="D226" s="477" t="s">
        <v>21</v>
      </c>
      <c r="E226" s="490">
        <v>0.4</v>
      </c>
      <c r="F226" s="490">
        <v>0.4</v>
      </c>
      <c r="G226" s="490">
        <v>0.4</v>
      </c>
      <c r="H226" s="490">
        <v>0.48</v>
      </c>
      <c r="I226" s="490">
        <v>0.57999999999999996</v>
      </c>
      <c r="J226" s="490">
        <v>0.5</v>
      </c>
      <c r="K226" s="490">
        <v>0.5</v>
      </c>
      <c r="L226" s="490">
        <v>0.5</v>
      </c>
      <c r="M226" s="490">
        <v>0.5</v>
      </c>
      <c r="N226" s="488"/>
      <c r="O226" s="488"/>
      <c r="P226" s="488"/>
      <c r="Q226" s="488"/>
      <c r="R226" s="488"/>
      <c r="S226" s="488"/>
      <c r="T226" s="488"/>
    </row>
    <row r="227" spans="2:20" ht="9" customHeight="1">
      <c r="B227" s="113"/>
      <c r="C227" s="113"/>
      <c r="D227" s="113"/>
      <c r="E227" s="113"/>
      <c r="F227" s="113"/>
      <c r="G227" s="113"/>
      <c r="H227" s="113"/>
      <c r="I227" s="113"/>
      <c r="J227" s="113"/>
      <c r="K227" s="113"/>
      <c r="L227" s="113"/>
      <c r="M227" s="113"/>
      <c r="N227" s="113"/>
      <c r="O227" s="113"/>
      <c r="P227" s="113"/>
      <c r="Q227" s="113"/>
      <c r="R227" s="113"/>
      <c r="S227" s="113"/>
      <c r="T227" s="113"/>
    </row>
    <row r="229" spans="2:20">
      <c r="B229" s="302" t="s">
        <v>174</v>
      </c>
      <c r="C229" s="302"/>
      <c r="D229" s="302"/>
      <c r="E229" s="303"/>
      <c r="F229" s="303"/>
      <c r="G229" s="303"/>
      <c r="H229" s="303"/>
      <c r="I229" s="303"/>
      <c r="J229" s="303"/>
      <c r="K229" s="303"/>
      <c r="L229" s="303"/>
      <c r="M229" s="303"/>
      <c r="N229" s="303"/>
      <c r="O229" s="303"/>
      <c r="P229" s="303"/>
      <c r="Q229" s="303"/>
      <c r="R229" s="303"/>
      <c r="S229" s="303"/>
      <c r="T229" s="303"/>
    </row>
    <row r="230" spans="2:20" ht="8.25" customHeight="1"/>
    <row r="231" spans="2:20">
      <c r="B231" s="184" t="s">
        <v>164</v>
      </c>
      <c r="M231" s="478">
        <f>(BS!J44+BS!J58)/(BS!J74+BS!J44+BS!J58)</f>
        <v>0.43411188359333597</v>
      </c>
    </row>
    <row r="232" spans="2:20">
      <c r="B232" s="184" t="s">
        <v>165</v>
      </c>
      <c r="M232" s="478">
        <f>1-M231</f>
        <v>0.56588811640666403</v>
      </c>
    </row>
    <row r="233" spans="2:20">
      <c r="B233" s="186" t="s">
        <v>166</v>
      </c>
      <c r="M233" s="479">
        <f>M231+M232</f>
        <v>1</v>
      </c>
    </row>
    <row r="234" spans="2:20">
      <c r="B234" s="184" t="s">
        <v>167</v>
      </c>
      <c r="M234" s="478">
        <f>N192</f>
        <v>0</v>
      </c>
    </row>
    <row r="235" spans="2:20">
      <c r="B235" s="190" t="s">
        <v>30</v>
      </c>
      <c r="M235" s="470"/>
    </row>
    <row r="236" spans="2:20">
      <c r="B236" s="190" t="s">
        <v>31</v>
      </c>
      <c r="M236" s="470"/>
    </row>
    <row r="237" spans="2:20">
      <c r="B237" s="190" t="s">
        <v>168</v>
      </c>
      <c r="M237" s="470"/>
    </row>
    <row r="238" spans="2:20">
      <c r="B238" s="190" t="s">
        <v>32</v>
      </c>
      <c r="M238" s="470"/>
    </row>
    <row r="239" spans="2:20">
      <c r="B239" s="190" t="s">
        <v>33</v>
      </c>
      <c r="M239" s="471"/>
    </row>
    <row r="240" spans="2:20">
      <c r="B240" s="184" t="s">
        <v>169</v>
      </c>
      <c r="M240" s="478">
        <f>M235+M237+M236+(M238*M239)</f>
        <v>0</v>
      </c>
    </row>
    <row r="241" spans="2:20">
      <c r="B241" s="186" t="s">
        <v>170</v>
      </c>
      <c r="M241" s="472"/>
    </row>
    <row r="242" spans="2:20">
      <c r="B242" s="480" t="s">
        <v>34</v>
      </c>
      <c r="M242" s="392">
        <f>(1-M241)*(M231*M234)+(M232*M240)</f>
        <v>0</v>
      </c>
    </row>
    <row r="243" spans="2:20">
      <c r="B243" s="186" t="s">
        <v>171</v>
      </c>
      <c r="M243" s="472"/>
    </row>
    <row r="244" spans="2:20" ht="8.25" customHeight="1">
      <c r="B244" s="113"/>
      <c r="C244" s="113"/>
      <c r="D244" s="113"/>
      <c r="E244" s="113"/>
      <c r="F244" s="113"/>
      <c r="G244" s="113"/>
      <c r="H244" s="113"/>
      <c r="I244" s="113"/>
      <c r="J244" s="113"/>
      <c r="K244" s="113"/>
      <c r="L244" s="113"/>
      <c r="M244" s="113"/>
      <c r="N244" s="113"/>
      <c r="O244" s="113"/>
      <c r="P244" s="113"/>
      <c r="Q244" s="113"/>
      <c r="R244" s="113"/>
      <c r="S244" s="113"/>
      <c r="T244" s="113"/>
    </row>
    <row r="246" spans="2:20">
      <c r="B246" s="302" t="s">
        <v>175</v>
      </c>
      <c r="C246" s="302"/>
      <c r="D246" s="302"/>
      <c r="E246" s="303"/>
      <c r="F246" s="303"/>
      <c r="G246" s="303"/>
      <c r="H246" s="303"/>
      <c r="I246" s="303"/>
      <c r="J246" s="303"/>
      <c r="K246" s="303"/>
      <c r="L246" s="303"/>
      <c r="M246" s="303"/>
      <c r="N246" s="303"/>
      <c r="O246" s="303"/>
      <c r="P246" s="303"/>
      <c r="Q246" s="303"/>
      <c r="R246" s="303"/>
      <c r="S246" s="303"/>
      <c r="T246" s="303"/>
    </row>
    <row r="247" spans="2:20" ht="9" customHeight="1"/>
    <row r="248" spans="2:20">
      <c r="B248" s="85" t="s">
        <v>175</v>
      </c>
      <c r="C248" s="125"/>
      <c r="D248" s="204" t="s">
        <v>21</v>
      </c>
      <c r="E248" s="309">
        <v>0</v>
      </c>
      <c r="F248" s="309">
        <v>0</v>
      </c>
      <c r="G248" s="309">
        <v>0</v>
      </c>
      <c r="H248" s="309">
        <v>0</v>
      </c>
      <c r="I248" s="309">
        <f>IS!H56/IS!H55</f>
        <v>-0.4966716606445169</v>
      </c>
      <c r="J248" s="309">
        <v>0</v>
      </c>
      <c r="K248" s="309">
        <v>-0.80400000000000005</v>
      </c>
      <c r="L248" s="309">
        <v>0</v>
      </c>
      <c r="M248" s="461"/>
      <c r="N248" s="461"/>
      <c r="O248" s="461"/>
      <c r="P248" s="461"/>
      <c r="Q248" s="461"/>
      <c r="R248" s="461"/>
      <c r="S248" s="461"/>
      <c r="T248" s="461"/>
    </row>
    <row r="249" spans="2:20" ht="9" customHeight="1">
      <c r="B249" s="113"/>
      <c r="C249" s="113"/>
      <c r="D249" s="113"/>
      <c r="E249" s="113"/>
      <c r="F249" s="113"/>
      <c r="G249" s="113"/>
      <c r="H249" s="113"/>
      <c r="I249" s="113"/>
      <c r="J249" s="113"/>
      <c r="K249" s="113"/>
      <c r="L249" s="113"/>
      <c r="M249" s="113"/>
      <c r="N249" s="113"/>
      <c r="O249" s="113"/>
      <c r="P249" s="113"/>
      <c r="Q249" s="113"/>
      <c r="R249" s="113"/>
      <c r="S249" s="113"/>
      <c r="T249" s="113"/>
    </row>
  </sheetData>
  <phoneticPr fontId="199" type="noConversion"/>
  <printOptions horizontalCentered="1"/>
  <pageMargins left="0.39370078740157483" right="0.39370078740157483" top="0.56999999999999995" bottom="0.35433070866141736" header="0.23622047244094491" footer="0.19685039370078741"/>
  <pageSetup scale="65" orientation="portrait" r:id="rId1"/>
  <headerFooter alignWithMargins="0">
    <oddFooter>&amp;R&amp;8&amp;F  &amp;A
&amp;D</oddFoot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Planilha3">
    <pageSetUpPr fitToPage="1"/>
  </sheetPr>
  <dimension ref="A1:Z47"/>
  <sheetViews>
    <sheetView showGridLines="0" zoomScaleNormal="100" workbookViewId="0">
      <pane ySplit="6" topLeftCell="A7" activePane="bottomLeft" state="frozen"/>
      <selection pane="bottomLeft" activeCell="J23" sqref="J23"/>
    </sheetView>
  </sheetViews>
  <sheetFormatPr defaultColWidth="0" defaultRowHeight="11.25"/>
  <cols>
    <col min="1" max="1" width="3.42578125" style="3" customWidth="1"/>
    <col min="2" max="2" width="39.42578125" style="3" bestFit="1" customWidth="1"/>
    <col min="3" max="3" width="2.7109375" style="4" customWidth="1"/>
    <col min="4" max="4" width="2.140625" style="3" hidden="1" customWidth="1"/>
    <col min="5" max="9" width="10.42578125" style="3" hidden="1" customWidth="1"/>
    <col min="10" max="19" width="10.42578125" style="3" customWidth="1"/>
    <col min="20" max="20" width="3.28515625" style="3" customWidth="1"/>
    <col min="21" max="25" width="2" style="3" hidden="1" customWidth="1"/>
    <col min="26" max="26" width="15" style="3" hidden="1" customWidth="1"/>
    <col min="27" max="16384" width="0" style="3" hidden="1"/>
  </cols>
  <sheetData>
    <row r="1" spans="2:26" customFormat="1" ht="21" customHeight="1">
      <c r="B1" s="152" t="s">
        <v>2</v>
      </c>
      <c r="C1" s="25"/>
      <c r="D1" s="23"/>
      <c r="E1" s="23"/>
      <c r="F1" s="23"/>
      <c r="G1" s="23"/>
      <c r="H1" s="23"/>
      <c r="I1" s="23"/>
      <c r="J1" s="23"/>
      <c r="K1" s="23"/>
      <c r="L1" s="23"/>
      <c r="M1" s="23"/>
      <c r="N1" s="23"/>
      <c r="O1" s="23"/>
      <c r="P1" s="23"/>
      <c r="Q1" s="23"/>
      <c r="R1" s="23"/>
      <c r="S1" s="23"/>
    </row>
    <row r="2" spans="2:26" customFormat="1" ht="16.5" customHeight="1" thickBot="1">
      <c r="B2" s="153" t="s">
        <v>360</v>
      </c>
      <c r="C2" s="24"/>
      <c r="D2" s="24"/>
      <c r="E2" s="24"/>
      <c r="F2" s="24"/>
      <c r="G2" s="24"/>
      <c r="H2" s="24"/>
      <c r="I2" s="24"/>
      <c r="J2" s="24"/>
      <c r="K2" s="24"/>
      <c r="L2" s="24"/>
      <c r="M2" s="24"/>
      <c r="N2" s="24"/>
      <c r="O2" s="24"/>
      <c r="P2" s="24"/>
      <c r="Q2" s="24"/>
      <c r="R2" s="24"/>
      <c r="S2" s="24"/>
    </row>
    <row r="3" spans="2:26" customFormat="1" ht="23.25" customHeight="1">
      <c r="B3" s="22"/>
      <c r="C3" s="22"/>
      <c r="D3" s="22"/>
      <c r="E3" s="22"/>
      <c r="F3" s="22"/>
      <c r="G3" s="22"/>
      <c r="H3" s="22"/>
      <c r="I3" s="22"/>
      <c r="J3" s="22"/>
      <c r="K3" s="22"/>
      <c r="L3" s="22"/>
      <c r="M3" s="22"/>
      <c r="N3" s="22"/>
      <c r="O3" s="22"/>
      <c r="P3" s="22"/>
      <c r="Q3" s="22"/>
      <c r="R3" s="22"/>
      <c r="S3" s="22"/>
    </row>
    <row r="4" spans="2:26" customFormat="1" ht="3" customHeight="1">
      <c r="B4" s="1"/>
      <c r="C4" s="1"/>
      <c r="D4" s="1"/>
      <c r="E4" s="1"/>
      <c r="F4" s="1"/>
      <c r="G4" s="1"/>
      <c r="H4" s="1"/>
      <c r="I4" s="1"/>
      <c r="J4" s="1"/>
      <c r="K4" s="1"/>
      <c r="L4" s="1"/>
      <c r="M4" s="1"/>
      <c r="N4" s="1"/>
      <c r="O4" s="1"/>
      <c r="P4" s="1"/>
      <c r="Q4" s="1"/>
      <c r="R4" s="1"/>
      <c r="S4" s="1"/>
    </row>
    <row r="5" spans="2:26" customFormat="1" ht="3" customHeight="1">
      <c r="B5" s="1"/>
      <c r="C5" s="150"/>
      <c r="D5" s="150"/>
      <c r="E5" s="150"/>
      <c r="F5" s="150"/>
      <c r="G5" s="150"/>
      <c r="H5" s="150"/>
      <c r="I5" s="150"/>
      <c r="J5" s="150"/>
      <c r="K5" s="150"/>
      <c r="L5" s="150"/>
      <c r="M5" s="150"/>
      <c r="N5" s="150"/>
      <c r="O5" s="150"/>
      <c r="P5" s="150"/>
      <c r="Q5" s="150"/>
      <c r="R5" s="150"/>
      <c r="S5" s="150"/>
    </row>
    <row r="6" spans="2:26" customFormat="1" ht="12.75">
      <c r="B6" s="278" t="s">
        <v>1</v>
      </c>
      <c r="C6" s="14"/>
      <c r="D6" s="55"/>
      <c r="E6" s="147" t="s">
        <v>53</v>
      </c>
      <c r="F6" s="147" t="s">
        <v>54</v>
      </c>
      <c r="G6" s="147" t="s">
        <v>55</v>
      </c>
      <c r="H6" s="147" t="s">
        <v>56</v>
      </c>
      <c r="I6" s="147" t="s">
        <v>57</v>
      </c>
      <c r="J6" s="147" t="s">
        <v>58</v>
      </c>
      <c r="K6" s="147" t="s">
        <v>59</v>
      </c>
      <c r="L6" s="147" t="s">
        <v>60</v>
      </c>
      <c r="M6" s="147" t="s">
        <v>61</v>
      </c>
      <c r="N6" s="147" t="s">
        <v>62</v>
      </c>
      <c r="O6" s="147" t="s">
        <v>63</v>
      </c>
      <c r="P6" s="147" t="s">
        <v>67</v>
      </c>
      <c r="Q6" s="147" t="s">
        <v>68</v>
      </c>
      <c r="R6" s="147" t="s">
        <v>69</v>
      </c>
      <c r="S6" s="147" t="s">
        <v>70</v>
      </c>
    </row>
    <row r="7" spans="2:26" customFormat="1" ht="12.75">
      <c r="B7" s="6"/>
      <c r="C7" s="14"/>
      <c r="D7" s="55"/>
      <c r="E7" s="56" t="s">
        <v>3</v>
      </c>
      <c r="F7" s="56" t="s">
        <v>3</v>
      </c>
      <c r="G7" s="56" t="s">
        <v>3</v>
      </c>
      <c r="H7" s="56" t="s">
        <v>3</v>
      </c>
      <c r="I7" s="417" t="s">
        <v>4</v>
      </c>
      <c r="J7" s="417" t="s">
        <v>4</v>
      </c>
      <c r="K7" s="417" t="s">
        <v>4</v>
      </c>
      <c r="L7" s="417" t="s">
        <v>4</v>
      </c>
      <c r="M7" s="417" t="s">
        <v>4</v>
      </c>
      <c r="N7" s="417" t="s">
        <v>4</v>
      </c>
      <c r="O7" s="417" t="s">
        <v>4</v>
      </c>
      <c r="P7" s="417" t="s">
        <v>4</v>
      </c>
      <c r="Q7" s="417" t="s">
        <v>4</v>
      </c>
      <c r="R7" s="417" t="s">
        <v>4</v>
      </c>
      <c r="S7" s="417" t="s">
        <v>4</v>
      </c>
      <c r="T7" s="57"/>
      <c r="U7" s="57"/>
      <c r="V7" s="57"/>
      <c r="W7" s="57"/>
      <c r="X7" s="57"/>
      <c r="Y7" s="3"/>
      <c r="Z7" s="3"/>
    </row>
    <row r="8" spans="2:26" customFormat="1" ht="12.75">
      <c r="C8" s="13"/>
    </row>
    <row r="9" spans="2:26">
      <c r="B9" s="496" t="s">
        <v>179</v>
      </c>
      <c r="C9" s="497"/>
      <c r="D9" s="487"/>
      <c r="E9" s="460">
        <v>0</v>
      </c>
      <c r="F9" s="460">
        <v>0</v>
      </c>
      <c r="G9" s="460">
        <v>0</v>
      </c>
      <c r="H9" s="460">
        <v>0</v>
      </c>
      <c r="I9" s="460"/>
      <c r="J9" s="460"/>
      <c r="K9" s="460"/>
      <c r="L9" s="460"/>
      <c r="M9" s="460"/>
      <c r="N9" s="460"/>
      <c r="O9" s="460"/>
      <c r="P9" s="460"/>
      <c r="Q9" s="460"/>
      <c r="R9" s="460"/>
      <c r="S9" s="460"/>
    </row>
    <row r="10" spans="2:26">
      <c r="B10" s="498" t="s">
        <v>180</v>
      </c>
      <c r="C10" s="499"/>
      <c r="D10" s="498"/>
      <c r="E10" s="500"/>
      <c r="F10" s="500"/>
      <c r="G10" s="500"/>
      <c r="H10" s="500"/>
      <c r="I10" s="501"/>
      <c r="J10" s="501"/>
      <c r="K10" s="501"/>
      <c r="L10" s="501"/>
      <c r="M10" s="501"/>
      <c r="N10" s="501"/>
      <c r="O10" s="501"/>
      <c r="P10" s="501"/>
      <c r="Q10" s="501"/>
      <c r="R10" s="501"/>
      <c r="S10" s="501"/>
    </row>
    <row r="11" spans="2:26">
      <c r="B11" s="5" t="s">
        <v>181</v>
      </c>
      <c r="C11" s="35"/>
      <c r="E11" s="358"/>
      <c r="F11" s="358"/>
      <c r="G11" s="358"/>
      <c r="H11" s="358"/>
      <c r="I11" s="29">
        <f t="shared" ref="I11:S11" si="0">(I9*I10)/1000</f>
        <v>0</v>
      </c>
      <c r="J11" s="29">
        <f t="shared" si="0"/>
        <v>0</v>
      </c>
      <c r="K11" s="29">
        <f t="shared" si="0"/>
        <v>0</v>
      </c>
      <c r="L11" s="29">
        <f t="shared" si="0"/>
        <v>0</v>
      </c>
      <c r="M11" s="29">
        <f t="shared" si="0"/>
        <v>0</v>
      </c>
      <c r="N11" s="29">
        <f t="shared" si="0"/>
        <v>0</v>
      </c>
      <c r="O11" s="29">
        <f t="shared" si="0"/>
        <v>0</v>
      </c>
      <c r="P11" s="29">
        <f t="shared" si="0"/>
        <v>0</v>
      </c>
      <c r="Q11" s="29">
        <f t="shared" si="0"/>
        <v>0</v>
      </c>
      <c r="R11" s="29">
        <f t="shared" si="0"/>
        <v>0</v>
      </c>
      <c r="S11" s="29">
        <f t="shared" si="0"/>
        <v>0</v>
      </c>
    </row>
    <row r="12" spans="2:26">
      <c r="B12" s="3" t="s">
        <v>182</v>
      </c>
      <c r="E12" s="357"/>
      <c r="F12" s="357"/>
      <c r="G12" s="357"/>
      <c r="H12" s="357"/>
      <c r="I12" s="8">
        <f t="shared" ref="I12:S12" si="1">(I11*6.73%)*-1</f>
        <v>0</v>
      </c>
      <c r="J12" s="8">
        <f t="shared" si="1"/>
        <v>0</v>
      </c>
      <c r="K12" s="8">
        <f t="shared" si="1"/>
        <v>0</v>
      </c>
      <c r="L12" s="8">
        <f t="shared" si="1"/>
        <v>0</v>
      </c>
      <c r="M12" s="8">
        <f t="shared" si="1"/>
        <v>0</v>
      </c>
      <c r="N12" s="8">
        <f t="shared" si="1"/>
        <v>0</v>
      </c>
      <c r="O12" s="8">
        <f t="shared" si="1"/>
        <v>0</v>
      </c>
      <c r="P12" s="8">
        <f t="shared" si="1"/>
        <v>0</v>
      </c>
      <c r="Q12" s="8">
        <f t="shared" si="1"/>
        <v>0</v>
      </c>
      <c r="R12" s="8">
        <f t="shared" si="1"/>
        <v>0</v>
      </c>
      <c r="S12" s="8">
        <f t="shared" si="1"/>
        <v>0</v>
      </c>
    </row>
    <row r="13" spans="2:26">
      <c r="B13" s="416" t="s">
        <v>183</v>
      </c>
      <c r="C13" s="418"/>
      <c r="D13" s="419"/>
      <c r="E13" s="415"/>
      <c r="F13" s="415"/>
      <c r="G13" s="415"/>
      <c r="H13" s="415"/>
      <c r="I13" s="415">
        <f t="shared" ref="I13:S13" si="2">I11+I12</f>
        <v>0</v>
      </c>
      <c r="J13" s="415">
        <f t="shared" si="2"/>
        <v>0</v>
      </c>
      <c r="K13" s="415">
        <f t="shared" si="2"/>
        <v>0</v>
      </c>
      <c r="L13" s="415">
        <f t="shared" si="2"/>
        <v>0</v>
      </c>
      <c r="M13" s="415">
        <f t="shared" si="2"/>
        <v>0</v>
      </c>
      <c r="N13" s="415">
        <f t="shared" si="2"/>
        <v>0</v>
      </c>
      <c r="O13" s="415">
        <f t="shared" si="2"/>
        <v>0</v>
      </c>
      <c r="P13" s="415">
        <f t="shared" si="2"/>
        <v>0</v>
      </c>
      <c r="Q13" s="415">
        <f t="shared" si="2"/>
        <v>0</v>
      </c>
      <c r="R13" s="415">
        <f t="shared" si="2"/>
        <v>0</v>
      </c>
      <c r="S13" s="415">
        <f t="shared" si="2"/>
        <v>0</v>
      </c>
    </row>
    <row r="14" spans="2:26">
      <c r="E14" s="8"/>
      <c r="F14" s="8"/>
      <c r="G14" s="8"/>
      <c r="H14" s="8"/>
      <c r="I14" s="8"/>
      <c r="J14" s="8"/>
      <c r="K14" s="8"/>
      <c r="L14" s="8"/>
      <c r="M14" s="8"/>
      <c r="N14" s="8"/>
      <c r="O14" s="8"/>
      <c r="P14" s="8"/>
      <c r="Q14" s="8"/>
      <c r="R14" s="8"/>
      <c r="S14" s="8"/>
    </row>
    <row r="16" spans="2:26">
      <c r="B16" s="496" t="s">
        <v>184</v>
      </c>
      <c r="C16" s="497"/>
      <c r="D16" s="487"/>
      <c r="E16" s="460">
        <v>0</v>
      </c>
      <c r="F16" s="460">
        <v>0</v>
      </c>
      <c r="G16" s="460">
        <v>0</v>
      </c>
      <c r="H16" s="460">
        <v>0</v>
      </c>
      <c r="I16" s="460"/>
      <c r="J16" s="460"/>
      <c r="K16" s="460"/>
      <c r="L16" s="460"/>
      <c r="M16" s="460"/>
      <c r="N16" s="460"/>
      <c r="O16" s="460"/>
      <c r="P16" s="460"/>
      <c r="Q16" s="460"/>
      <c r="R16" s="460"/>
      <c r="S16" s="460"/>
    </row>
    <row r="17" spans="1:26">
      <c r="B17" s="498" t="s">
        <v>185</v>
      </c>
      <c r="C17" s="499"/>
      <c r="D17" s="498"/>
      <c r="E17" s="500"/>
      <c r="F17" s="500"/>
      <c r="G17" s="500"/>
      <c r="H17" s="500"/>
      <c r="I17" s="501"/>
      <c r="J17" s="501"/>
      <c r="K17" s="501"/>
      <c r="L17" s="501"/>
      <c r="M17" s="501"/>
      <c r="N17" s="501"/>
      <c r="O17" s="501"/>
      <c r="P17" s="501"/>
      <c r="Q17" s="501"/>
      <c r="R17" s="501"/>
      <c r="S17" s="501"/>
    </row>
    <row r="18" spans="1:26" customFormat="1" ht="12.75">
      <c r="A18" s="3"/>
      <c r="B18" s="502" t="s">
        <v>186</v>
      </c>
      <c r="C18" s="503"/>
      <c r="D18" s="504"/>
      <c r="E18" s="505"/>
      <c r="F18" s="505"/>
      <c r="G18" s="505"/>
      <c r="H18" s="505"/>
      <c r="I18" s="505">
        <f t="shared" ref="I18:S18" si="3">(I16*I17)/1000</f>
        <v>0</v>
      </c>
      <c r="J18" s="505">
        <f t="shared" si="3"/>
        <v>0</v>
      </c>
      <c r="K18" s="505">
        <f>(K16*K17)/1000</f>
        <v>0</v>
      </c>
      <c r="L18" s="505">
        <f t="shared" si="3"/>
        <v>0</v>
      </c>
      <c r="M18" s="505">
        <f t="shared" si="3"/>
        <v>0</v>
      </c>
      <c r="N18" s="505">
        <f t="shared" si="3"/>
        <v>0</v>
      </c>
      <c r="O18" s="505">
        <f t="shared" si="3"/>
        <v>0</v>
      </c>
      <c r="P18" s="505">
        <f t="shared" si="3"/>
        <v>0</v>
      </c>
      <c r="Q18" s="505">
        <f t="shared" si="3"/>
        <v>0</v>
      </c>
      <c r="R18" s="505">
        <f t="shared" si="3"/>
        <v>0</v>
      </c>
      <c r="S18" s="505">
        <f t="shared" si="3"/>
        <v>0</v>
      </c>
      <c r="T18" s="3"/>
      <c r="U18" s="3"/>
      <c r="V18" s="3"/>
      <c r="W18" s="3"/>
      <c r="X18" s="3"/>
      <c r="Y18" s="3"/>
      <c r="Z18" s="3"/>
    </row>
    <row r="19" spans="1:26" customFormat="1" ht="12.75">
      <c r="A19" s="3"/>
      <c r="B19" s="8"/>
      <c r="C19" s="4"/>
      <c r="D19" s="8"/>
      <c r="E19" s="8"/>
      <c r="F19" s="8"/>
      <c r="G19" s="8"/>
      <c r="H19" s="8"/>
      <c r="I19" s="8"/>
      <c r="J19" s="8"/>
      <c r="K19" s="8"/>
      <c r="L19" s="8"/>
      <c r="M19" s="8"/>
      <c r="N19" s="8"/>
      <c r="O19" s="8"/>
      <c r="P19" s="8"/>
      <c r="Q19" s="8"/>
      <c r="R19" s="8"/>
      <c r="S19" s="8"/>
      <c r="T19" s="3"/>
      <c r="U19" s="3"/>
      <c r="V19" s="3"/>
      <c r="W19" s="3"/>
      <c r="X19" s="3"/>
      <c r="Y19" s="3"/>
      <c r="Z19" s="3"/>
    </row>
    <row r="20" spans="1:26" customFormat="1" ht="12.75">
      <c r="A20" s="3"/>
      <c r="B20" s="3"/>
      <c r="C20" s="4"/>
      <c r="D20" s="3"/>
      <c r="E20" s="8"/>
      <c r="F20" s="8"/>
      <c r="G20" s="8"/>
      <c r="H20" s="8"/>
      <c r="I20" s="8"/>
      <c r="J20" s="8"/>
      <c r="K20" s="8"/>
      <c r="L20" s="8"/>
      <c r="M20" s="8"/>
      <c r="N20" s="8"/>
      <c r="O20" s="8"/>
      <c r="P20" s="8"/>
      <c r="Q20" s="8"/>
      <c r="R20" s="8"/>
      <c r="S20" s="8"/>
      <c r="T20" s="3"/>
      <c r="U20" s="3"/>
      <c r="V20" s="3"/>
      <c r="W20" s="3"/>
      <c r="X20" s="3"/>
      <c r="Y20" s="3"/>
      <c r="Z20" s="3"/>
    </row>
    <row r="21" spans="1:26" customFormat="1" ht="12.75">
      <c r="A21" s="3"/>
      <c r="B21" s="8"/>
      <c r="C21" s="4"/>
      <c r="D21" s="3"/>
      <c r="E21" s="8"/>
      <c r="F21" s="8"/>
      <c r="G21" s="8"/>
      <c r="H21" s="8"/>
      <c r="I21" s="8"/>
      <c r="J21" s="8"/>
      <c r="K21" s="8"/>
      <c r="L21" s="8"/>
      <c r="M21" s="8"/>
      <c r="N21" s="8"/>
      <c r="O21" s="8"/>
      <c r="P21" s="8"/>
      <c r="Q21" s="8"/>
      <c r="R21" s="8"/>
      <c r="S21" s="8"/>
      <c r="T21" s="3"/>
      <c r="U21" s="3"/>
      <c r="V21" s="3"/>
      <c r="W21" s="3"/>
      <c r="X21" s="3"/>
      <c r="Y21" s="3"/>
      <c r="Z21" s="3"/>
    </row>
    <row r="22" spans="1:26" customFormat="1" ht="12.75">
      <c r="A22" s="3"/>
      <c r="B22" s="3"/>
      <c r="C22" s="4"/>
      <c r="D22" s="3"/>
      <c r="E22" s="8"/>
      <c r="F22" s="8"/>
      <c r="G22" s="8"/>
      <c r="H22" s="8"/>
      <c r="I22" s="8"/>
      <c r="J22" s="8"/>
      <c r="K22" s="8"/>
      <c r="L22" s="8"/>
      <c r="M22" s="8"/>
      <c r="N22" s="8"/>
      <c r="O22" s="8"/>
      <c r="P22" s="8"/>
      <c r="Q22" s="8"/>
      <c r="R22" s="8"/>
      <c r="S22" s="8"/>
      <c r="T22" s="3"/>
      <c r="U22" s="3"/>
      <c r="V22" s="3"/>
      <c r="W22" s="3"/>
      <c r="X22" s="3"/>
      <c r="Y22" s="3"/>
      <c r="Z22" s="3"/>
    </row>
    <row r="23" spans="1:26" customFormat="1" ht="12.75">
      <c r="A23" s="3"/>
      <c r="B23" s="8"/>
      <c r="C23" s="4"/>
      <c r="D23" s="8"/>
      <c r="E23" s="8"/>
      <c r="F23" s="8"/>
      <c r="G23" s="8"/>
      <c r="H23" s="8"/>
      <c r="I23" s="8"/>
      <c r="J23" s="8"/>
      <c r="K23" s="8"/>
      <c r="L23" s="8"/>
      <c r="M23" s="8"/>
      <c r="N23" s="8"/>
      <c r="O23" s="8"/>
      <c r="P23" s="8"/>
      <c r="Q23" s="8"/>
      <c r="R23" s="8"/>
      <c r="S23" s="8"/>
      <c r="T23" s="3"/>
      <c r="U23" s="3"/>
      <c r="V23" s="3"/>
      <c r="W23" s="3"/>
      <c r="X23" s="3"/>
      <c r="Y23" s="3"/>
      <c r="Z23" s="3"/>
    </row>
    <row r="24" spans="1:26">
      <c r="E24" s="8"/>
      <c r="F24" s="8"/>
      <c r="G24" s="8"/>
      <c r="H24" s="8"/>
      <c r="I24" s="8"/>
      <c r="J24" s="8"/>
      <c r="K24" s="8"/>
      <c r="L24" s="8"/>
      <c r="M24" s="8"/>
      <c r="N24" s="8"/>
      <c r="O24" s="8"/>
      <c r="P24" s="8"/>
      <c r="Q24" s="8"/>
      <c r="R24" s="8"/>
      <c r="S24" s="8"/>
    </row>
    <row r="25" spans="1:26">
      <c r="B25" s="29"/>
      <c r="C25" s="42"/>
      <c r="D25" s="29"/>
      <c r="E25" s="29"/>
      <c r="F25" s="29"/>
      <c r="G25" s="29"/>
      <c r="H25" s="29"/>
      <c r="I25" s="29"/>
      <c r="J25" s="29"/>
      <c r="K25" s="29"/>
      <c r="L25" s="29"/>
      <c r="M25" s="29"/>
      <c r="N25" s="29"/>
      <c r="O25" s="29"/>
      <c r="P25" s="29"/>
      <c r="Q25" s="29"/>
      <c r="R25" s="29"/>
      <c r="S25" s="29"/>
    </row>
    <row r="26" spans="1:26">
      <c r="E26" s="8"/>
      <c r="F26" s="8"/>
      <c r="G26" s="8"/>
      <c r="H26" s="8"/>
      <c r="I26" s="8"/>
      <c r="J26" s="8"/>
      <c r="K26" s="8"/>
      <c r="L26" s="8"/>
      <c r="M26" s="8"/>
      <c r="N26" s="8"/>
      <c r="O26" s="8"/>
      <c r="P26" s="8"/>
      <c r="Q26" s="8"/>
      <c r="R26" s="8"/>
      <c r="S26" s="8"/>
    </row>
    <row r="27" spans="1:26">
      <c r="B27" s="5"/>
      <c r="C27" s="43"/>
      <c r="E27" s="8"/>
      <c r="F27" s="8"/>
      <c r="G27" s="8"/>
      <c r="H27" s="8"/>
      <c r="I27" s="8"/>
      <c r="J27" s="8"/>
      <c r="K27" s="8"/>
      <c r="L27" s="8"/>
      <c r="M27" s="8"/>
      <c r="N27" s="8"/>
      <c r="O27" s="8"/>
      <c r="P27" s="8"/>
      <c r="Q27" s="8"/>
      <c r="R27" s="8"/>
      <c r="S27" s="8"/>
      <c r="T27" s="8"/>
    </row>
    <row r="28" spans="1:26">
      <c r="C28" s="43"/>
      <c r="E28" s="8"/>
      <c r="F28" s="8"/>
      <c r="G28" s="8"/>
      <c r="H28" s="8"/>
      <c r="I28" s="8"/>
      <c r="J28" s="8"/>
      <c r="K28" s="8"/>
      <c r="L28" s="8"/>
      <c r="M28" s="8"/>
      <c r="N28" s="8"/>
      <c r="O28" s="8"/>
      <c r="P28" s="8"/>
      <c r="Q28" s="8"/>
      <c r="R28" s="8"/>
      <c r="S28" s="8"/>
      <c r="T28" s="8"/>
    </row>
    <row r="29" spans="1:26">
      <c r="H29" s="8"/>
    </row>
    <row r="30" spans="1:26">
      <c r="C30" s="30"/>
      <c r="H30" s="8"/>
    </row>
    <row r="31" spans="1:26">
      <c r="E31" s="44"/>
      <c r="F31" s="5"/>
      <c r="H31" s="8"/>
    </row>
    <row r="32" spans="1:26">
      <c r="C32" s="30"/>
    </row>
    <row r="39" spans="21:25">
      <c r="U39" s="8"/>
    </row>
    <row r="40" spans="21:25">
      <c r="U40" s="8"/>
    </row>
    <row r="41" spans="21:25">
      <c r="U41" s="8"/>
    </row>
    <row r="42" spans="21:25">
      <c r="U42" s="8"/>
    </row>
    <row r="43" spans="21:25">
      <c r="U43" s="8"/>
    </row>
    <row r="44" spans="21:25">
      <c r="U44" s="8"/>
    </row>
    <row r="45" spans="21:25">
      <c r="Y45" s="8"/>
    </row>
    <row r="46" spans="21:25">
      <c r="W46" s="9"/>
      <c r="X46" s="10"/>
      <c r="Y46" s="8"/>
    </row>
    <row r="47" spans="21:25">
      <c r="Y47" s="8"/>
    </row>
  </sheetData>
  <sheetProtection selectLockedCells="1" selectUnlockedCells="1"/>
  <phoneticPr fontId="3" type="noConversion"/>
  <pageMargins left="0.78740157499999996" right="0.78740157499999996" top="0.984251969" bottom="0.984251969" header="0.49212598499999999" footer="0.49212598499999999"/>
  <pageSetup paperSize="9" scale="56" orientation="portrait" r:id="rId1"/>
  <headerFooter alignWithMargins="0"/>
  <ignoredErrors>
    <ignoredError sqref="E6:N6" numberStoredAsText="1"/>
  </ignoredErrors>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Planilha2">
    <pageSetUpPr fitToPage="1"/>
  </sheetPr>
  <dimension ref="A1:AA203"/>
  <sheetViews>
    <sheetView showGridLines="0" zoomScale="110" zoomScaleNormal="110" workbookViewId="0">
      <pane ySplit="6" topLeftCell="A7" activePane="bottomLeft" state="frozen"/>
      <selection activeCell="H123" sqref="H123"/>
      <selection pane="bottomLeft" activeCell="J14" sqref="J14"/>
    </sheetView>
  </sheetViews>
  <sheetFormatPr defaultColWidth="0" defaultRowHeight="11.25"/>
  <cols>
    <col min="1" max="1" width="3.42578125" style="3" customWidth="1"/>
    <col min="2" max="2" width="25.140625" style="3" customWidth="1"/>
    <col min="3" max="3" width="2" style="4" customWidth="1"/>
    <col min="4" max="4" width="2.140625" style="3" customWidth="1"/>
    <col min="5" max="6" width="11.42578125" style="3" customWidth="1"/>
    <col min="7" max="13" width="12.42578125" style="3" bestFit="1" customWidth="1"/>
    <col min="14" max="20" width="12.42578125" style="3" customWidth="1"/>
    <col min="21" max="21" width="3.28515625" style="3" customWidth="1"/>
    <col min="22" max="26" width="2" style="3" hidden="1" customWidth="1"/>
    <col min="27" max="27" width="15" style="3" hidden="1" customWidth="1"/>
    <col min="28" max="16384" width="0" style="3" hidden="1"/>
  </cols>
  <sheetData>
    <row r="1" spans="1:27" customFormat="1" ht="21.75" customHeight="1">
      <c r="B1" s="152" t="s">
        <v>2</v>
      </c>
      <c r="C1" s="25"/>
      <c r="D1" s="23"/>
      <c r="E1" s="23"/>
      <c r="F1" s="23"/>
      <c r="G1" s="23"/>
      <c r="H1" s="23"/>
      <c r="I1" s="23"/>
      <c r="J1" s="23"/>
      <c r="K1" s="23"/>
      <c r="L1" s="23"/>
      <c r="M1" s="23"/>
      <c r="N1" s="23"/>
      <c r="O1" s="23"/>
      <c r="P1" s="23"/>
      <c r="Q1" s="23"/>
      <c r="R1" s="23"/>
      <c r="S1" s="23"/>
      <c r="T1" s="23"/>
    </row>
    <row r="2" spans="1:27" customFormat="1" ht="16.5" customHeight="1" thickBot="1">
      <c r="B2" s="153" t="s">
        <v>198</v>
      </c>
      <c r="C2" s="24"/>
      <c r="D2" s="24"/>
      <c r="E2" s="24"/>
      <c r="F2" s="24"/>
      <c r="G2" s="24"/>
      <c r="H2" s="24"/>
      <c r="I2" s="24"/>
      <c r="J2" s="24"/>
      <c r="K2" s="24"/>
      <c r="L2" s="24"/>
      <c r="M2" s="24"/>
      <c r="N2" s="24"/>
      <c r="O2" s="24"/>
      <c r="P2" s="24"/>
      <c r="Q2" s="24"/>
      <c r="R2" s="24"/>
      <c r="S2" s="24"/>
      <c r="T2" s="24"/>
    </row>
    <row r="3" spans="1:27" customFormat="1" ht="23.25" customHeight="1">
      <c r="B3" s="22"/>
      <c r="C3" s="22"/>
      <c r="D3" s="22"/>
      <c r="E3" s="22"/>
      <c r="F3" s="22"/>
      <c r="G3" s="22"/>
      <c r="H3" s="22"/>
      <c r="I3" s="22"/>
      <c r="J3" s="22"/>
      <c r="K3" s="22"/>
      <c r="L3" s="22"/>
      <c r="M3" s="22"/>
      <c r="N3" s="22"/>
      <c r="O3" s="22"/>
      <c r="P3" s="22"/>
      <c r="Q3" s="22"/>
      <c r="R3" s="22"/>
      <c r="S3" s="22"/>
      <c r="T3" s="22"/>
    </row>
    <row r="4" spans="1:27" customFormat="1" ht="3" customHeight="1">
      <c r="B4" s="1"/>
      <c r="C4" s="1"/>
      <c r="D4" s="1"/>
      <c r="E4" s="1"/>
      <c r="F4" s="1"/>
      <c r="G4" s="1"/>
      <c r="H4" s="1"/>
      <c r="I4" s="1"/>
      <c r="J4" s="1"/>
      <c r="K4" s="1"/>
      <c r="L4" s="1"/>
      <c r="M4" s="1"/>
      <c r="N4" s="1"/>
      <c r="O4" s="1"/>
      <c r="P4" s="1"/>
      <c r="Q4" s="1"/>
      <c r="R4" s="1"/>
      <c r="S4" s="1"/>
      <c r="T4" s="1"/>
    </row>
    <row r="5" spans="1:27" customFormat="1" ht="3" customHeight="1">
      <c r="B5" s="1"/>
      <c r="C5" s="1"/>
      <c r="D5" s="1"/>
      <c r="E5" s="1"/>
      <c r="F5" s="1"/>
      <c r="G5" s="1"/>
      <c r="H5" s="1"/>
      <c r="I5" s="1"/>
      <c r="J5" s="1"/>
      <c r="K5" s="1"/>
      <c r="L5" s="1"/>
      <c r="M5" s="1"/>
      <c r="N5" s="1"/>
      <c r="O5" s="1"/>
      <c r="P5" s="1"/>
      <c r="Q5" s="1"/>
      <c r="R5" s="1"/>
      <c r="S5" s="1"/>
      <c r="T5" s="1"/>
    </row>
    <row r="6" spans="1:27" customFormat="1" ht="12.75">
      <c r="B6" s="278" t="s">
        <v>210</v>
      </c>
      <c r="C6" s="16"/>
      <c r="D6" s="53"/>
      <c r="E6" s="54" t="s">
        <v>76</v>
      </c>
      <c r="F6" s="54" t="s">
        <v>13</v>
      </c>
      <c r="G6" s="54" t="s">
        <v>14</v>
      </c>
      <c r="H6" s="54" t="s">
        <v>15</v>
      </c>
      <c r="I6" s="54" t="s">
        <v>16</v>
      </c>
      <c r="J6" s="54" t="s">
        <v>17</v>
      </c>
      <c r="K6" s="54" t="s">
        <v>18</v>
      </c>
      <c r="L6" s="54" t="s">
        <v>19</v>
      </c>
      <c r="M6" s="54" t="s">
        <v>20</v>
      </c>
      <c r="N6" s="54" t="s">
        <v>40</v>
      </c>
      <c r="O6" s="54" t="s">
        <v>41</v>
      </c>
      <c r="P6" s="54" t="s">
        <v>42</v>
      </c>
      <c r="Q6" s="54" t="s">
        <v>71</v>
      </c>
      <c r="R6" s="54" t="s">
        <v>72</v>
      </c>
      <c r="S6" s="54" t="s">
        <v>73</v>
      </c>
      <c r="T6" s="54" t="s">
        <v>74</v>
      </c>
    </row>
    <row r="7" spans="1:27" customFormat="1" ht="12.75">
      <c r="B7" s="6"/>
      <c r="C7" s="14"/>
      <c r="D7" s="55"/>
      <c r="E7" s="56" t="s">
        <v>3</v>
      </c>
      <c r="F7" s="56" t="s">
        <v>3</v>
      </c>
      <c r="G7" s="56" t="s">
        <v>3</v>
      </c>
      <c r="H7" s="56" t="s">
        <v>3</v>
      </c>
      <c r="I7" s="56" t="s">
        <v>3</v>
      </c>
      <c r="J7" s="56" t="s">
        <v>3</v>
      </c>
      <c r="K7" s="56" t="s">
        <v>3</v>
      </c>
      <c r="L7" s="56" t="s">
        <v>3</v>
      </c>
      <c r="M7" s="56" t="s">
        <v>3</v>
      </c>
      <c r="N7" s="56" t="s">
        <v>4</v>
      </c>
      <c r="O7" s="56" t="s">
        <v>4</v>
      </c>
      <c r="P7" s="56" t="s">
        <v>4</v>
      </c>
      <c r="Q7" s="56" t="s">
        <v>4</v>
      </c>
      <c r="R7" s="56" t="s">
        <v>4</v>
      </c>
      <c r="S7" s="56" t="s">
        <v>4</v>
      </c>
      <c r="T7" s="56" t="s">
        <v>4</v>
      </c>
      <c r="U7" s="57"/>
      <c r="V7" s="57"/>
      <c r="W7" s="57"/>
      <c r="X7" s="57"/>
      <c r="Y7" s="57"/>
      <c r="Z7" s="3"/>
      <c r="AA7" s="3"/>
    </row>
    <row r="8" spans="1:27" customFormat="1" ht="12.75">
      <c r="C8" s="13"/>
    </row>
    <row r="9" spans="1:27" ht="12.75">
      <c r="A9"/>
      <c r="B9" s="109" t="s">
        <v>187</v>
      </c>
      <c r="C9" s="109"/>
      <c r="D9" s="109"/>
      <c r="E9" s="110"/>
      <c r="F9" s="110"/>
      <c r="G9" s="110"/>
      <c r="H9" s="110"/>
      <c r="I9" s="110"/>
      <c r="J9" s="110"/>
      <c r="K9" s="110"/>
      <c r="L9" s="110"/>
      <c r="M9" s="110"/>
      <c r="N9" s="110"/>
      <c r="O9" s="110"/>
      <c r="P9" s="110"/>
      <c r="Q9" s="110"/>
      <c r="R9" s="110"/>
      <c r="S9" s="110"/>
      <c r="T9" s="110"/>
    </row>
    <row r="10" spans="1:27">
      <c r="B10" s="3" t="s">
        <v>89</v>
      </c>
      <c r="E10" s="11">
        <f>Assumptions!E10</f>
        <v>150778</v>
      </c>
      <c r="F10" s="11">
        <f>Assumptions!F10</f>
        <v>184702</v>
      </c>
      <c r="G10" s="11">
        <f>Assumptions!G10</f>
        <v>208693</v>
      </c>
      <c r="H10" s="11">
        <f>Assumptions!H10</f>
        <v>212586</v>
      </c>
      <c r="I10" s="11">
        <f>Assumptions!I10</f>
        <v>230126.86</v>
      </c>
      <c r="J10" s="11">
        <f>Assumptions!J10</f>
        <v>230163.62</v>
      </c>
      <c r="K10" s="11">
        <f>Assumptions!K10</f>
        <v>243149</v>
      </c>
      <c r="L10" s="11">
        <f>Assumptions!L10</f>
        <v>235444</v>
      </c>
      <c r="M10" s="11">
        <f>Assumptions!M10</f>
        <v>229448.96999999997</v>
      </c>
      <c r="N10" s="11">
        <f>Assumptions!N10</f>
        <v>336464</v>
      </c>
      <c r="O10" s="11">
        <f>Assumptions!O10</f>
        <v>0</v>
      </c>
      <c r="P10" s="11">
        <f>Assumptions!P10</f>
        <v>0</v>
      </c>
      <c r="Q10" s="11">
        <f>Assumptions!Q10</f>
        <v>0</v>
      </c>
      <c r="R10" s="11">
        <f>Assumptions!R10</f>
        <v>0</v>
      </c>
      <c r="S10" s="11">
        <f>Assumptions!S10</f>
        <v>0</v>
      </c>
      <c r="T10" s="11">
        <f>Assumptions!T10</f>
        <v>0</v>
      </c>
    </row>
    <row r="11" spans="1:27">
      <c r="B11" s="3" t="s">
        <v>90</v>
      </c>
      <c r="E11" s="11">
        <f>Assumptions!E11</f>
        <v>76580</v>
      </c>
      <c r="F11" s="11">
        <f>Assumptions!F11</f>
        <v>93666</v>
      </c>
      <c r="G11" s="11">
        <f>Assumptions!G11</f>
        <v>98562</v>
      </c>
      <c r="H11" s="11">
        <f>Assumptions!H11</f>
        <v>93406</v>
      </c>
      <c r="I11" s="11">
        <f>Assumptions!I11</f>
        <v>87440.45</v>
      </c>
      <c r="J11" s="11">
        <f>Assumptions!J11</f>
        <v>95123.97</v>
      </c>
      <c r="K11" s="11">
        <f>Assumptions!K11</f>
        <v>123727</v>
      </c>
      <c r="L11" s="11">
        <f>Assumptions!L11</f>
        <v>125462</v>
      </c>
      <c r="M11" s="11">
        <f>Assumptions!M11</f>
        <v>109604.38999999998</v>
      </c>
      <c r="N11" s="11">
        <f>Assumptions!N11</f>
        <v>175961</v>
      </c>
      <c r="O11" s="11">
        <f>Assumptions!O11</f>
        <v>0</v>
      </c>
      <c r="P11" s="11">
        <f>Assumptions!P11</f>
        <v>0</v>
      </c>
      <c r="Q11" s="11">
        <f>Assumptions!Q11</f>
        <v>0</v>
      </c>
      <c r="R11" s="11">
        <f>Assumptions!R11</f>
        <v>0</v>
      </c>
      <c r="S11" s="11">
        <f>Assumptions!S11</f>
        <v>0</v>
      </c>
      <c r="T11" s="11">
        <f>Assumptions!T11</f>
        <v>0</v>
      </c>
    </row>
    <row r="12" spans="1:27">
      <c r="B12" s="3" t="s">
        <v>93</v>
      </c>
      <c r="D12" s="38"/>
      <c r="E12" s="11">
        <f>Assumptions!E14</f>
        <v>49273</v>
      </c>
      <c r="F12" s="11">
        <f>Assumptions!F14</f>
        <v>50765</v>
      </c>
      <c r="G12" s="11">
        <f>Assumptions!G14</f>
        <v>43407.4</v>
      </c>
      <c r="H12" s="11">
        <f>Assumptions!H14</f>
        <v>65680.5</v>
      </c>
      <c r="I12" s="11">
        <f>Assumptions!I14</f>
        <v>71790</v>
      </c>
      <c r="J12" s="11">
        <f>Assumptions!J14</f>
        <v>76931</v>
      </c>
      <c r="K12" s="11">
        <f>Assumptions!K14</f>
        <v>89311</v>
      </c>
      <c r="L12" s="11">
        <f>Assumptions!L14</f>
        <v>82392</v>
      </c>
      <c r="M12" s="11">
        <f>Assumptions!M14</f>
        <v>112863.61</v>
      </c>
      <c r="N12" s="11">
        <f>Assumptions!N14</f>
        <v>121572</v>
      </c>
      <c r="O12" s="11">
        <f>Assumptions!O14</f>
        <v>0</v>
      </c>
      <c r="P12" s="11">
        <f>Assumptions!P14</f>
        <v>0</v>
      </c>
      <c r="Q12" s="11">
        <f>Assumptions!Q14</f>
        <v>0</v>
      </c>
      <c r="R12" s="11">
        <f>Assumptions!R14</f>
        <v>0</v>
      </c>
      <c r="S12" s="11">
        <f>Assumptions!S14</f>
        <v>0</v>
      </c>
      <c r="T12" s="11">
        <f>Assumptions!T14</f>
        <v>0</v>
      </c>
    </row>
    <row r="13" spans="1:27">
      <c r="B13" s="3" t="s">
        <v>188</v>
      </c>
      <c r="D13" s="38"/>
      <c r="E13" s="11">
        <f>Assumptions!E17</f>
        <v>5842</v>
      </c>
      <c r="F13" s="11">
        <f>Assumptions!F17</f>
        <v>14435</v>
      </c>
      <c r="G13" s="11">
        <f>Assumptions!G17</f>
        <v>19363.400000000001</v>
      </c>
      <c r="H13" s="11">
        <f>Assumptions!H17</f>
        <v>5586.5</v>
      </c>
      <c r="I13" s="11">
        <f>Assumptions!I17</f>
        <v>3564</v>
      </c>
      <c r="J13" s="11">
        <f>Assumptions!J17</f>
        <v>2227.5</v>
      </c>
      <c r="K13" s="11">
        <f>Assumptions!K17</f>
        <v>1912</v>
      </c>
      <c r="L13" s="11">
        <f>Assumptions!L17</f>
        <v>5270</v>
      </c>
      <c r="M13" s="11">
        <f>Assumptions!M17</f>
        <v>11250.47</v>
      </c>
      <c r="N13" s="11">
        <f>Assumptions!N17</f>
        <v>34792</v>
      </c>
      <c r="O13" s="11">
        <f>Assumptions!O17</f>
        <v>0</v>
      </c>
      <c r="P13" s="11">
        <f>Assumptions!P17</f>
        <v>0</v>
      </c>
      <c r="Q13" s="11">
        <f>Assumptions!Q17</f>
        <v>0</v>
      </c>
      <c r="R13" s="11">
        <f>Assumptions!R17</f>
        <v>0</v>
      </c>
      <c r="S13" s="11">
        <f>Assumptions!S17</f>
        <v>0</v>
      </c>
      <c r="T13" s="11">
        <f>Assumptions!T17</f>
        <v>0</v>
      </c>
    </row>
    <row r="14" spans="1:27">
      <c r="B14" s="36" t="s">
        <v>189</v>
      </c>
      <c r="C14" s="47"/>
      <c r="D14" s="50"/>
      <c r="E14" s="48">
        <f>SUM(E10:E13)</f>
        <v>282473</v>
      </c>
      <c r="F14" s="48">
        <f t="shared" ref="F14:O14" si="0">SUM(F10:F13)</f>
        <v>343568</v>
      </c>
      <c r="G14" s="48">
        <f t="shared" si="0"/>
        <v>370025.80000000005</v>
      </c>
      <c r="H14" s="48">
        <f t="shared" si="0"/>
        <v>377259</v>
      </c>
      <c r="I14" s="48">
        <f t="shared" si="0"/>
        <v>392921.31</v>
      </c>
      <c r="J14" s="48">
        <f t="shared" si="0"/>
        <v>404446.08999999997</v>
      </c>
      <c r="K14" s="48">
        <f t="shared" si="0"/>
        <v>458099</v>
      </c>
      <c r="L14" s="48">
        <f t="shared" si="0"/>
        <v>448568</v>
      </c>
      <c r="M14" s="48">
        <f t="shared" si="0"/>
        <v>463167.43999999994</v>
      </c>
      <c r="N14" s="48">
        <f t="shared" si="0"/>
        <v>668789</v>
      </c>
      <c r="O14" s="48">
        <f t="shared" si="0"/>
        <v>0</v>
      </c>
      <c r="P14" s="48">
        <f>SUM(P10:P13)</f>
        <v>0</v>
      </c>
      <c r="Q14" s="48">
        <f>SUM(Q10:Q13)</f>
        <v>0</v>
      </c>
      <c r="R14" s="48">
        <f>SUM(R10:R13)</f>
        <v>0</v>
      </c>
      <c r="S14" s="48">
        <f>SUM(S10:S13)</f>
        <v>0</v>
      </c>
      <c r="T14" s="48">
        <f>SUM(T10:T13)</f>
        <v>0</v>
      </c>
    </row>
    <row r="15" spans="1:27">
      <c r="D15" s="8"/>
      <c r="E15" s="11"/>
      <c r="F15" s="11"/>
      <c r="G15" s="11"/>
      <c r="H15" s="11"/>
      <c r="I15" s="11"/>
      <c r="J15" s="11"/>
      <c r="K15" s="11"/>
      <c r="L15" s="11"/>
      <c r="M15" s="11"/>
      <c r="N15" s="11"/>
      <c r="O15" s="11"/>
      <c r="P15" s="11"/>
      <c r="Q15" s="11"/>
      <c r="R15" s="11"/>
      <c r="S15" s="11"/>
      <c r="T15" s="11"/>
      <c r="U15" s="8"/>
    </row>
    <row r="16" spans="1:27">
      <c r="B16" s="109" t="s">
        <v>107</v>
      </c>
      <c r="C16" s="109"/>
      <c r="D16" s="109"/>
      <c r="E16" s="110"/>
      <c r="F16" s="110"/>
      <c r="G16" s="110"/>
      <c r="H16" s="110"/>
      <c r="I16" s="110"/>
      <c r="J16" s="110"/>
      <c r="K16" s="110"/>
      <c r="L16" s="110"/>
      <c r="M16" s="110"/>
      <c r="N16" s="110"/>
      <c r="O16" s="110"/>
      <c r="P16" s="110"/>
      <c r="Q16" s="110"/>
      <c r="R16" s="110"/>
      <c r="S16" s="110"/>
      <c r="T16" s="110"/>
    </row>
    <row r="17" spans="1:27">
      <c r="B17" s="3" t="s">
        <v>190</v>
      </c>
      <c r="E17" s="31">
        <f>Assumptions!E43</f>
        <v>2640</v>
      </c>
      <c r="F17" s="31">
        <f>Assumptions!F43</f>
        <v>2914</v>
      </c>
      <c r="G17" s="31">
        <f>Assumptions!G43</f>
        <v>3082</v>
      </c>
      <c r="H17" s="31">
        <f>Assumptions!H43</f>
        <v>2580</v>
      </c>
      <c r="I17" s="31">
        <f>Assumptions!I43</f>
        <v>3291</v>
      </c>
      <c r="J17" s="31">
        <f>Assumptions!J43</f>
        <v>3692</v>
      </c>
      <c r="K17" s="31">
        <f>Assumptions!K43</f>
        <v>3739.2</v>
      </c>
      <c r="L17" s="31">
        <f>Assumptions!L43</f>
        <v>3867</v>
      </c>
      <c r="M17" s="31">
        <f>Assumptions!M43</f>
        <v>3985</v>
      </c>
      <c r="N17" s="31">
        <f>Assumptions!N43</f>
        <v>3765</v>
      </c>
      <c r="O17" s="31">
        <f>Assumptions!O43</f>
        <v>0</v>
      </c>
      <c r="P17" s="31">
        <f>Assumptions!P43</f>
        <v>0</v>
      </c>
      <c r="Q17" s="31">
        <f>Assumptions!Q43</f>
        <v>0</v>
      </c>
      <c r="R17" s="31">
        <f>Assumptions!R43</f>
        <v>0</v>
      </c>
      <c r="S17" s="31">
        <f>Assumptions!S43</f>
        <v>0</v>
      </c>
      <c r="T17" s="31">
        <f>Assumptions!T43</f>
        <v>0</v>
      </c>
    </row>
    <row r="18" spans="1:27" customFormat="1" ht="12.75">
      <c r="A18" s="3"/>
      <c r="B18" s="3" t="s">
        <v>191</v>
      </c>
      <c r="C18" s="35"/>
      <c r="D18" s="5"/>
      <c r="E18" s="31">
        <f>Assumptions!E44</f>
        <v>1505.478336380256</v>
      </c>
      <c r="F18" s="31">
        <f>Assumptions!F44</f>
        <v>1729.2402472615463</v>
      </c>
      <c r="G18" s="31">
        <f>Assumptions!G44</f>
        <v>1544.4976968811509</v>
      </c>
      <c r="H18" s="31">
        <f>Assumptions!H44</f>
        <v>1278.2773911740146</v>
      </c>
      <c r="I18" s="31">
        <f>Assumptions!I44</f>
        <v>1808.7102062031934</v>
      </c>
      <c r="J18" s="31">
        <f>Assumptions!J44</f>
        <v>1808.6451761842991</v>
      </c>
      <c r="K18" s="31">
        <f>Assumptions!K44</f>
        <v>1654.5721224954941</v>
      </c>
      <c r="L18" s="31">
        <f>Assumptions!L44</f>
        <v>1755.4980312764023</v>
      </c>
      <c r="M18" s="31">
        <f>Assumptions!M44</f>
        <v>1848.4318475747186</v>
      </c>
      <c r="N18" s="31">
        <f>Assumptions!N44</f>
        <v>1836.7538886457794</v>
      </c>
      <c r="O18" s="31" t="e">
        <f>Assumptions!O44</f>
        <v>#DIV/0!</v>
      </c>
      <c r="P18" s="31" t="e">
        <f>Assumptions!P44</f>
        <v>#DIV/0!</v>
      </c>
      <c r="Q18" s="31" t="e">
        <f>Assumptions!Q44</f>
        <v>#DIV/0!</v>
      </c>
      <c r="R18" s="31" t="e">
        <f>Assumptions!R44</f>
        <v>#DIV/0!</v>
      </c>
      <c r="S18" s="31" t="e">
        <f>Assumptions!S44</f>
        <v>#DIV/0!</v>
      </c>
      <c r="T18" s="31" t="e">
        <f>Assumptions!T44</f>
        <v>#DIV/0!</v>
      </c>
      <c r="U18" s="3"/>
      <c r="V18" s="3"/>
      <c r="W18" s="3"/>
      <c r="X18" s="3"/>
      <c r="Y18" s="3"/>
      <c r="Z18" s="3"/>
      <c r="AA18" s="3"/>
    </row>
    <row r="19" spans="1:27" customFormat="1" ht="12.75">
      <c r="A19" s="3"/>
      <c r="B19" s="3" t="s">
        <v>192</v>
      </c>
      <c r="C19" s="35"/>
      <c r="D19" s="5"/>
      <c r="E19" s="31">
        <f>Assumptions!E47</f>
        <v>1976</v>
      </c>
      <c r="F19" s="31">
        <f>Assumptions!F47</f>
        <v>2224</v>
      </c>
      <c r="G19" s="31">
        <f>Assumptions!G47</f>
        <v>1783</v>
      </c>
      <c r="H19" s="31">
        <f>Assumptions!H47</f>
        <v>1679</v>
      </c>
      <c r="I19" s="31">
        <f>Assumptions!I47</f>
        <v>2305</v>
      </c>
      <c r="J19" s="31">
        <f>Assumptions!J47</f>
        <v>2351</v>
      </c>
      <c r="K19" s="31">
        <f>Assumptions!K47</f>
        <v>2090</v>
      </c>
      <c r="L19" s="31">
        <f>Assumptions!L47</f>
        <v>2175</v>
      </c>
      <c r="M19" s="31">
        <f>Assumptions!M47</f>
        <v>2312</v>
      </c>
      <c r="N19" s="31">
        <f>Assumptions!N47</f>
        <v>2299</v>
      </c>
      <c r="O19" s="31">
        <f>Assumptions!O47</f>
        <v>0</v>
      </c>
      <c r="P19" s="31">
        <f>Assumptions!P47</f>
        <v>0</v>
      </c>
      <c r="Q19" s="31">
        <f>Assumptions!Q47</f>
        <v>0</v>
      </c>
      <c r="R19" s="31">
        <f>Assumptions!R47</f>
        <v>0</v>
      </c>
      <c r="S19" s="31">
        <f>Assumptions!S47</f>
        <v>0</v>
      </c>
      <c r="T19" s="31">
        <f>Assumptions!T47</f>
        <v>0</v>
      </c>
      <c r="U19" s="3"/>
      <c r="V19" s="3"/>
      <c r="W19" s="3"/>
      <c r="X19" s="3"/>
      <c r="Y19" s="3"/>
      <c r="Z19" s="3"/>
      <c r="AA19" s="3"/>
    </row>
    <row r="20" spans="1:27">
      <c r="B20" s="26" t="s">
        <v>193</v>
      </c>
      <c r="C20" s="136"/>
      <c r="D20" s="443"/>
      <c r="E20" s="65">
        <f>Assumptions!E48</f>
        <v>7012.6042457329568</v>
      </c>
      <c r="F20" s="65">
        <f>Assumptions!F48</f>
        <v>7737.6817689352902</v>
      </c>
      <c r="G20" s="65">
        <f>Assumptions!G48</f>
        <v>6872.9720646710011</v>
      </c>
      <c r="H20" s="65">
        <f>Assumptions!H48</f>
        <v>5378</v>
      </c>
      <c r="I20" s="65">
        <f>Assumptions!I48</f>
        <v>6680</v>
      </c>
      <c r="J20" s="65">
        <f>Assumptions!J48</f>
        <v>5715</v>
      </c>
      <c r="K20" s="65">
        <f>Assumptions!K48</f>
        <v>7099</v>
      </c>
      <c r="L20" s="65">
        <f>Assumptions!L48</f>
        <v>7300</v>
      </c>
      <c r="M20" s="65">
        <f>Assumptions!M48</f>
        <v>5880</v>
      </c>
      <c r="N20" s="65">
        <f>Assumptions!N48</f>
        <v>7653</v>
      </c>
      <c r="O20" s="65" t="e">
        <f>Assumptions!O48</f>
        <v>#DIV/0!</v>
      </c>
      <c r="P20" s="65" t="e">
        <f>Assumptions!P48</f>
        <v>#DIV/0!</v>
      </c>
      <c r="Q20" s="65" t="e">
        <f>Assumptions!Q48</f>
        <v>#DIV/0!</v>
      </c>
      <c r="R20" s="65" t="e">
        <f>Assumptions!R48</f>
        <v>#DIV/0!</v>
      </c>
      <c r="S20" s="65" t="e">
        <f>Assumptions!S48</f>
        <v>#DIV/0!</v>
      </c>
      <c r="T20" s="65" t="e">
        <f>Assumptions!T48</f>
        <v>#DIV/0!</v>
      </c>
    </row>
    <row r="21" spans="1:27">
      <c r="B21" s="5"/>
      <c r="C21" s="35"/>
      <c r="E21" s="130"/>
      <c r="F21" s="130"/>
      <c r="G21" s="130"/>
      <c r="H21" s="130"/>
      <c r="I21" s="130"/>
      <c r="J21" s="130"/>
      <c r="K21" s="130"/>
      <c r="L21" s="130"/>
      <c r="M21" s="130"/>
      <c r="N21" s="130"/>
      <c r="O21" s="130"/>
      <c r="P21" s="130"/>
      <c r="Q21" s="130"/>
      <c r="R21" s="130"/>
      <c r="S21" s="130"/>
      <c r="T21" s="130"/>
    </row>
    <row r="22" spans="1:27">
      <c r="B22" s="109" t="s">
        <v>107</v>
      </c>
      <c r="C22" s="109"/>
      <c r="D22" s="109"/>
      <c r="E22" s="110"/>
      <c r="F22" s="110"/>
      <c r="G22" s="110"/>
      <c r="H22" s="110"/>
      <c r="I22" s="110"/>
      <c r="J22" s="110"/>
      <c r="K22" s="110"/>
      <c r="L22" s="110"/>
      <c r="M22" s="110"/>
      <c r="N22" s="110"/>
      <c r="O22" s="110"/>
      <c r="P22" s="110"/>
      <c r="Q22" s="110"/>
      <c r="R22" s="110"/>
      <c r="S22" s="110"/>
      <c r="T22" s="110"/>
    </row>
    <row r="23" spans="1:27">
      <c r="B23" s="5" t="s">
        <v>194</v>
      </c>
      <c r="C23" s="35"/>
      <c r="E23" s="130">
        <f>E17/16.6667</f>
        <v>158.3996832006336</v>
      </c>
      <c r="F23" s="130">
        <f>F17/16.6667</f>
        <v>174.83965032069938</v>
      </c>
      <c r="G23" s="130">
        <f>G17/16.6667</f>
        <v>184.9196301607397</v>
      </c>
      <c r="H23" s="130">
        <f>H17/16.6667</f>
        <v>154.7996904006192</v>
      </c>
      <c r="I23" s="130">
        <f>I17/16.6667</f>
        <v>197.45960508078986</v>
      </c>
      <c r="J23" s="130">
        <f>J17/1000</f>
        <v>3.6920000000000002</v>
      </c>
      <c r="K23" s="130">
        <f t="shared" ref="K23:T23" si="1">K17/16.6667</f>
        <v>224.35155129689741</v>
      </c>
      <c r="L23" s="130">
        <f t="shared" si="1"/>
        <v>232.0195359609281</v>
      </c>
      <c r="M23" s="130">
        <f t="shared" si="1"/>
        <v>239.09952180095641</v>
      </c>
      <c r="N23" s="130">
        <f t="shared" si="1"/>
        <v>225.89954820090361</v>
      </c>
      <c r="O23" s="130">
        <f t="shared" si="1"/>
        <v>0</v>
      </c>
      <c r="P23" s="130">
        <f t="shared" si="1"/>
        <v>0</v>
      </c>
      <c r="Q23" s="130">
        <f t="shared" si="1"/>
        <v>0</v>
      </c>
      <c r="R23" s="130">
        <f t="shared" si="1"/>
        <v>0</v>
      </c>
      <c r="S23" s="130">
        <f t="shared" si="1"/>
        <v>0</v>
      </c>
      <c r="T23" s="130">
        <f t="shared" si="1"/>
        <v>0</v>
      </c>
    </row>
    <row r="24" spans="1:27">
      <c r="B24" s="5" t="s">
        <v>195</v>
      </c>
      <c r="C24" s="35"/>
      <c r="E24" s="130">
        <f>E18/66.6667</f>
        <v>22.582163754621959</v>
      </c>
      <c r="F24" s="130">
        <f>F18/66.6667</f>
        <v>25.938590739627823</v>
      </c>
      <c r="G24" s="130">
        <f>G18/66.6667</f>
        <v>23.167453869490327</v>
      </c>
      <c r="H24" s="130">
        <f>H18/66.6667</f>
        <v>19.174151280534577</v>
      </c>
      <c r="I24" s="130">
        <f>I18/66.6667</f>
        <v>27.130639527728135</v>
      </c>
      <c r="J24" s="130">
        <f>J18/1000</f>
        <v>1.808645176184299</v>
      </c>
      <c r="K24" s="130">
        <f t="shared" ref="K24:T24" si="2">K18/66.6667</f>
        <v>24.818569428147697</v>
      </c>
      <c r="L24" s="130">
        <f t="shared" si="2"/>
        <v>26.33245730291738</v>
      </c>
      <c r="M24" s="130">
        <f t="shared" si="2"/>
        <v>27.726463850388853</v>
      </c>
      <c r="N24" s="130">
        <f t="shared" si="2"/>
        <v>27.551294554039412</v>
      </c>
      <c r="O24" s="130" t="e">
        <f t="shared" si="2"/>
        <v>#DIV/0!</v>
      </c>
      <c r="P24" s="130" t="e">
        <f t="shared" si="2"/>
        <v>#DIV/0!</v>
      </c>
      <c r="Q24" s="130" t="e">
        <f t="shared" si="2"/>
        <v>#DIV/0!</v>
      </c>
      <c r="R24" s="130" t="e">
        <f t="shared" si="2"/>
        <v>#DIV/0!</v>
      </c>
      <c r="S24" s="130" t="e">
        <f t="shared" si="2"/>
        <v>#DIV/0!</v>
      </c>
      <c r="T24" s="130" t="e">
        <f t="shared" si="2"/>
        <v>#DIV/0!</v>
      </c>
    </row>
    <row r="25" spans="1:27">
      <c r="B25" s="5" t="s">
        <v>196</v>
      </c>
      <c r="C25" s="35"/>
      <c r="E25" s="130">
        <f>E19</f>
        <v>1976</v>
      </c>
      <c r="F25" s="130">
        <f>F19</f>
        <v>2224</v>
      </c>
      <c r="G25" s="130">
        <f>G19</f>
        <v>1783</v>
      </c>
      <c r="H25" s="130">
        <f>H19</f>
        <v>1679</v>
      </c>
      <c r="I25" s="130">
        <f>I19</f>
        <v>2305</v>
      </c>
      <c r="J25" s="130">
        <f>J19/1000</f>
        <v>2.351</v>
      </c>
      <c r="K25" s="130">
        <f t="shared" ref="K25:T25" si="3">K19</f>
        <v>2090</v>
      </c>
      <c r="L25" s="130">
        <f t="shared" si="3"/>
        <v>2175</v>
      </c>
      <c r="M25" s="130">
        <f t="shared" si="3"/>
        <v>2312</v>
      </c>
      <c r="N25" s="130">
        <f t="shared" si="3"/>
        <v>2299</v>
      </c>
      <c r="O25" s="130">
        <f t="shared" si="3"/>
        <v>0</v>
      </c>
      <c r="P25" s="130">
        <f t="shared" si="3"/>
        <v>0</v>
      </c>
      <c r="Q25" s="130">
        <f t="shared" si="3"/>
        <v>0</v>
      </c>
      <c r="R25" s="130">
        <f t="shared" si="3"/>
        <v>0</v>
      </c>
      <c r="S25" s="130">
        <f t="shared" si="3"/>
        <v>0</v>
      </c>
      <c r="T25" s="130">
        <f t="shared" si="3"/>
        <v>0</v>
      </c>
    </row>
    <row r="26" spans="1:27">
      <c r="B26" s="34" t="s">
        <v>197</v>
      </c>
      <c r="C26" s="136"/>
      <c r="D26" s="26"/>
      <c r="E26" s="258">
        <f>E20/16.6667</f>
        <v>420.75541323315099</v>
      </c>
      <c r="F26" s="258">
        <f>F20/16.6667</f>
        <v>464.25997761616219</v>
      </c>
      <c r="G26" s="258">
        <f>G20/16.6667</f>
        <v>412.37749912526186</v>
      </c>
      <c r="H26" s="258">
        <f>H20/16.6667</f>
        <v>322.67935464129073</v>
      </c>
      <c r="I26" s="258">
        <f>I20/16.6667</f>
        <v>400.79919840160323</v>
      </c>
      <c r="J26" s="258">
        <f>J20/1000</f>
        <v>5.7149999999999999</v>
      </c>
      <c r="K26" s="258">
        <f t="shared" ref="K26:T26" si="4">K20/16.6667</f>
        <v>425.93914812170379</v>
      </c>
      <c r="L26" s="258">
        <f t="shared" si="4"/>
        <v>437.99912400175202</v>
      </c>
      <c r="M26" s="258">
        <f t="shared" si="4"/>
        <v>352.7992944014112</v>
      </c>
      <c r="N26" s="258">
        <f t="shared" si="4"/>
        <v>459.17908164183677</v>
      </c>
      <c r="O26" s="258" t="e">
        <f t="shared" si="4"/>
        <v>#DIV/0!</v>
      </c>
      <c r="P26" s="258" t="e">
        <f t="shared" si="4"/>
        <v>#DIV/0!</v>
      </c>
      <c r="Q26" s="258" t="e">
        <f t="shared" si="4"/>
        <v>#DIV/0!</v>
      </c>
      <c r="R26" s="258" t="e">
        <f t="shared" si="4"/>
        <v>#DIV/0!</v>
      </c>
      <c r="S26" s="258" t="e">
        <f t="shared" si="4"/>
        <v>#DIV/0!</v>
      </c>
      <c r="T26" s="258" t="e">
        <f t="shared" si="4"/>
        <v>#DIV/0!</v>
      </c>
    </row>
    <row r="27" spans="1:27">
      <c r="B27" s="5"/>
      <c r="C27" s="35"/>
      <c r="E27" s="130"/>
      <c r="F27" s="130"/>
      <c r="G27" s="130"/>
      <c r="H27" s="130"/>
      <c r="I27" s="130"/>
      <c r="J27" s="130"/>
      <c r="K27" s="130"/>
      <c r="L27" s="130"/>
      <c r="M27" s="130"/>
      <c r="N27" s="130"/>
      <c r="O27" s="130"/>
      <c r="P27" s="130"/>
      <c r="Q27" s="130"/>
      <c r="R27" s="130"/>
      <c r="S27" s="130"/>
      <c r="T27" s="130"/>
    </row>
    <row r="28" spans="1:27">
      <c r="B28" s="109" t="s">
        <v>198</v>
      </c>
      <c r="C28" s="109"/>
      <c r="D28" s="109"/>
      <c r="E28" s="110"/>
      <c r="F28" s="110"/>
      <c r="G28" s="110"/>
      <c r="H28" s="110"/>
      <c r="I28" s="110"/>
      <c r="J28" s="110"/>
      <c r="K28" s="110"/>
      <c r="L28" s="110"/>
      <c r="M28" s="110"/>
      <c r="N28" s="110"/>
      <c r="O28" s="110"/>
      <c r="P28" s="110"/>
      <c r="Q28" s="110"/>
      <c r="R28" s="110"/>
      <c r="S28" s="110"/>
      <c r="T28" s="110"/>
    </row>
    <row r="29" spans="1:27">
      <c r="B29" s="3" t="s">
        <v>199</v>
      </c>
      <c r="E29" s="11">
        <f t="shared" ref="E29:J29" si="5">(E17/60)*E10</f>
        <v>6634232</v>
      </c>
      <c r="F29" s="11">
        <f t="shared" si="5"/>
        <v>8970360.4666666668</v>
      </c>
      <c r="G29" s="11">
        <f t="shared" si="5"/>
        <v>10719863.766666668</v>
      </c>
      <c r="H29" s="11">
        <f t="shared" si="5"/>
        <v>9141198</v>
      </c>
      <c r="I29" s="11">
        <f t="shared" si="5"/>
        <v>12622458.271</v>
      </c>
      <c r="J29" s="11">
        <f t="shared" si="5"/>
        <v>14162734.750666667</v>
      </c>
      <c r="K29" s="11">
        <f t="shared" ref="K29:T29" si="6">(K17/60)*K10</f>
        <v>15153045.68</v>
      </c>
      <c r="L29" s="11">
        <f t="shared" si="6"/>
        <v>15174365.800000001</v>
      </c>
      <c r="M29" s="11">
        <f t="shared" si="6"/>
        <v>15239235.757499998</v>
      </c>
      <c r="N29" s="11">
        <f t="shared" si="6"/>
        <v>21113116</v>
      </c>
      <c r="O29" s="11">
        <f t="shared" si="6"/>
        <v>0</v>
      </c>
      <c r="P29" s="11">
        <f t="shared" si="6"/>
        <v>0</v>
      </c>
      <c r="Q29" s="11">
        <f t="shared" si="6"/>
        <v>0</v>
      </c>
      <c r="R29" s="11">
        <f t="shared" si="6"/>
        <v>0</v>
      </c>
      <c r="S29" s="11">
        <f t="shared" si="6"/>
        <v>0</v>
      </c>
      <c r="T29" s="11">
        <f t="shared" si="6"/>
        <v>0</v>
      </c>
    </row>
    <row r="30" spans="1:27">
      <c r="B30" s="3" t="s">
        <v>200</v>
      </c>
      <c r="E30" s="11">
        <f t="shared" ref="E30:J30" si="7">(E18/15)*E11</f>
        <v>7685968.7333333334</v>
      </c>
      <c r="F30" s="11">
        <f t="shared" si="7"/>
        <v>10798067.800000001</v>
      </c>
      <c r="G30" s="11">
        <f t="shared" si="7"/>
        <v>10148585.466666667</v>
      </c>
      <c r="H30" s="11">
        <f t="shared" si="7"/>
        <v>7959918.5333333341</v>
      </c>
      <c r="I30" s="11">
        <f t="shared" si="7"/>
        <v>10543628.956666667</v>
      </c>
      <c r="J30" s="11">
        <f t="shared" si="7"/>
        <v>11469700.631999997</v>
      </c>
      <c r="K30" s="11">
        <f t="shared" ref="K30:T30" si="8">(K18/15)*K11</f>
        <v>13647683</v>
      </c>
      <c r="L30" s="11">
        <f t="shared" si="8"/>
        <v>14683219.6</v>
      </c>
      <c r="M30" s="11">
        <f t="shared" si="8"/>
        <v>13506416.340666665</v>
      </c>
      <c r="N30" s="11">
        <f t="shared" si="8"/>
        <v>21546470.066666666</v>
      </c>
      <c r="O30" s="11" t="e">
        <f t="shared" si="8"/>
        <v>#DIV/0!</v>
      </c>
      <c r="P30" s="11" t="e">
        <f t="shared" si="8"/>
        <v>#DIV/0!</v>
      </c>
      <c r="Q30" s="11" t="e">
        <f t="shared" si="8"/>
        <v>#DIV/0!</v>
      </c>
      <c r="R30" s="11" t="e">
        <f t="shared" si="8"/>
        <v>#DIV/0!</v>
      </c>
      <c r="S30" s="11" t="e">
        <f t="shared" si="8"/>
        <v>#DIV/0!</v>
      </c>
      <c r="T30" s="11" t="e">
        <f t="shared" si="8"/>
        <v>#DIV/0!</v>
      </c>
    </row>
    <row r="31" spans="1:27">
      <c r="B31" s="3" t="s">
        <v>201</v>
      </c>
      <c r="E31" s="11">
        <f t="shared" ref="E31:J31" si="9">(E19/1000)*E11</f>
        <v>151322.07999999999</v>
      </c>
      <c r="F31" s="11">
        <f t="shared" si="9"/>
        <v>208313.18400000001</v>
      </c>
      <c r="G31" s="11">
        <f t="shared" si="9"/>
        <v>175736.046</v>
      </c>
      <c r="H31" s="11">
        <f t="shared" si="9"/>
        <v>156828.674</v>
      </c>
      <c r="I31" s="11">
        <f t="shared" si="9"/>
        <v>201550.23725000001</v>
      </c>
      <c r="J31" s="11">
        <f t="shared" si="9"/>
        <v>223636.45347000001</v>
      </c>
      <c r="K31" s="11">
        <f t="shared" ref="K31:T31" si="10">(K19/1000)*K11</f>
        <v>258589.43</v>
      </c>
      <c r="L31" s="11">
        <f t="shared" si="10"/>
        <v>272879.84999999998</v>
      </c>
      <c r="M31" s="11">
        <f t="shared" si="10"/>
        <v>253405.34967999996</v>
      </c>
      <c r="N31" s="11">
        <f t="shared" si="10"/>
        <v>404534.33899999998</v>
      </c>
      <c r="O31" s="11">
        <f t="shared" si="10"/>
        <v>0</v>
      </c>
      <c r="P31" s="11">
        <f t="shared" si="10"/>
        <v>0</v>
      </c>
      <c r="Q31" s="11">
        <f t="shared" si="10"/>
        <v>0</v>
      </c>
      <c r="R31" s="11">
        <f t="shared" si="10"/>
        <v>0</v>
      </c>
      <c r="S31" s="11">
        <f t="shared" si="10"/>
        <v>0</v>
      </c>
      <c r="T31" s="11">
        <f t="shared" si="10"/>
        <v>0</v>
      </c>
    </row>
    <row r="32" spans="1:27">
      <c r="B32" s="26" t="s">
        <v>202</v>
      </c>
      <c r="C32" s="27"/>
      <c r="D32" s="64"/>
      <c r="E32" s="51">
        <f t="shared" ref="E32:J32" si="11">(E20/60)*E12</f>
        <v>5758867.4833333325</v>
      </c>
      <c r="F32" s="51">
        <f t="shared" si="11"/>
        <v>6546723.583333333</v>
      </c>
      <c r="G32" s="51">
        <f t="shared" si="11"/>
        <v>4972297.4600000009</v>
      </c>
      <c r="H32" s="51">
        <f t="shared" si="11"/>
        <v>5887162.1500000004</v>
      </c>
      <c r="I32" s="51">
        <f t="shared" si="11"/>
        <v>7992620</v>
      </c>
      <c r="J32" s="51">
        <f t="shared" si="11"/>
        <v>7327677.75</v>
      </c>
      <c r="K32" s="51">
        <f t="shared" ref="K32:T32" si="12">(K20/60)*K12</f>
        <v>10566979.816666666</v>
      </c>
      <c r="L32" s="51">
        <f t="shared" si="12"/>
        <v>10024360</v>
      </c>
      <c r="M32" s="51">
        <f t="shared" si="12"/>
        <v>11060633.779999999</v>
      </c>
      <c r="N32" s="51">
        <f t="shared" si="12"/>
        <v>15506508.6</v>
      </c>
      <c r="O32" s="51" t="e">
        <f t="shared" si="12"/>
        <v>#DIV/0!</v>
      </c>
      <c r="P32" s="51" t="e">
        <f t="shared" si="12"/>
        <v>#DIV/0!</v>
      </c>
      <c r="Q32" s="51" t="e">
        <f t="shared" si="12"/>
        <v>#DIV/0!</v>
      </c>
      <c r="R32" s="51" t="e">
        <f t="shared" si="12"/>
        <v>#DIV/0!</v>
      </c>
      <c r="S32" s="51" t="e">
        <f t="shared" si="12"/>
        <v>#DIV/0!</v>
      </c>
      <c r="T32" s="51" t="e">
        <f t="shared" si="12"/>
        <v>#DIV/0!</v>
      </c>
    </row>
    <row r="33" spans="1:27" customFormat="1" ht="12.75">
      <c r="A33" s="3"/>
      <c r="B33" s="8"/>
      <c r="C33" s="4"/>
      <c r="D33" s="8"/>
      <c r="E33" s="8"/>
      <c r="F33" s="8"/>
      <c r="G33" s="8"/>
      <c r="H33" s="8"/>
      <c r="I33" s="8"/>
      <c r="J33" s="8"/>
      <c r="K33" s="8"/>
      <c r="L33" s="8"/>
      <c r="M33" s="8"/>
      <c r="N33" s="8"/>
      <c r="O33" s="8"/>
      <c r="P33" s="8"/>
      <c r="Q33" s="8"/>
      <c r="R33" s="8"/>
      <c r="S33" s="8"/>
      <c r="T33" s="8"/>
      <c r="U33" s="3"/>
      <c r="V33" s="3"/>
      <c r="W33" s="3"/>
      <c r="X33" s="3"/>
      <c r="Y33" s="3"/>
      <c r="Z33" s="3"/>
      <c r="AA33" s="3"/>
    </row>
    <row r="34" spans="1:27" customFormat="1" ht="12.75">
      <c r="A34" s="3"/>
      <c r="B34" s="109" t="s">
        <v>198</v>
      </c>
      <c r="C34" s="109"/>
      <c r="D34" s="109"/>
      <c r="E34" s="110"/>
      <c r="F34" s="110"/>
      <c r="G34" s="110"/>
      <c r="H34" s="110"/>
      <c r="I34" s="110"/>
      <c r="J34" s="110"/>
      <c r="K34" s="110"/>
      <c r="L34" s="110"/>
      <c r="M34" s="110"/>
      <c r="N34" s="110"/>
      <c r="O34" s="110"/>
      <c r="P34" s="110"/>
      <c r="Q34" s="110"/>
      <c r="R34" s="110"/>
      <c r="S34" s="110"/>
      <c r="T34" s="110"/>
      <c r="U34" s="3"/>
      <c r="V34" s="3"/>
      <c r="W34" s="3"/>
      <c r="X34" s="3"/>
      <c r="Y34" s="3"/>
      <c r="Z34" s="3"/>
      <c r="AA34" s="3"/>
    </row>
    <row r="35" spans="1:27" customFormat="1" ht="12.75">
      <c r="A35" s="3"/>
      <c r="B35" s="3" t="s">
        <v>203</v>
      </c>
      <c r="C35" s="4"/>
      <c r="D35" s="3"/>
      <c r="E35" s="11">
        <f t="shared" ref="E35:T35" si="13">(E29*60)/1000</f>
        <v>398053.92</v>
      </c>
      <c r="F35" s="11">
        <f t="shared" si="13"/>
        <v>538221.62800000003</v>
      </c>
      <c r="G35" s="11">
        <f t="shared" si="13"/>
        <v>643191.826</v>
      </c>
      <c r="H35" s="11">
        <f t="shared" si="13"/>
        <v>548471.88</v>
      </c>
      <c r="I35" s="11">
        <f t="shared" si="13"/>
        <v>757347.49626000004</v>
      </c>
      <c r="J35" s="11">
        <f t="shared" si="13"/>
        <v>849764.08503999992</v>
      </c>
      <c r="K35" s="11">
        <f t="shared" si="13"/>
        <v>909182.74079999991</v>
      </c>
      <c r="L35" s="11">
        <f t="shared" si="13"/>
        <v>910461.94799999997</v>
      </c>
      <c r="M35" s="11">
        <f t="shared" si="13"/>
        <v>914354.14544999995</v>
      </c>
      <c r="N35" s="11">
        <f t="shared" si="13"/>
        <v>1266786.96</v>
      </c>
      <c r="O35" s="11">
        <f t="shared" si="13"/>
        <v>0</v>
      </c>
      <c r="P35" s="11">
        <f t="shared" si="13"/>
        <v>0</v>
      </c>
      <c r="Q35" s="11">
        <f t="shared" si="13"/>
        <v>0</v>
      </c>
      <c r="R35" s="11">
        <f t="shared" si="13"/>
        <v>0</v>
      </c>
      <c r="S35" s="11">
        <f t="shared" si="13"/>
        <v>0</v>
      </c>
      <c r="T35" s="11">
        <f t="shared" si="13"/>
        <v>0</v>
      </c>
      <c r="U35" s="3"/>
      <c r="V35" s="3"/>
      <c r="W35" s="3"/>
      <c r="X35" s="3"/>
      <c r="Y35" s="3"/>
      <c r="Z35" s="3"/>
      <c r="AA35" s="3"/>
    </row>
    <row r="36" spans="1:27" customFormat="1" ht="12.75">
      <c r="A36" s="3"/>
      <c r="B36" s="3" t="s">
        <v>204</v>
      </c>
      <c r="C36" s="4"/>
      <c r="D36" s="3"/>
      <c r="E36" s="11">
        <f>(E30*15/1000)*0.395</f>
        <v>45539.364745000006</v>
      </c>
      <c r="F36" s="11">
        <f>(F30*15/1000)*0.395</f>
        <v>63978.551715000001</v>
      </c>
      <c r="G36" s="11">
        <f>(G30*15/1000)*0.395</f>
        <v>60130.368890000005</v>
      </c>
      <c r="H36" s="11">
        <f>(H30*15/1000)*0.395</f>
        <v>47162.51731000001</v>
      </c>
      <c r="I36" s="11">
        <f>(I30*15/1000)*0.395</f>
        <v>62471.001568250002</v>
      </c>
      <c r="J36" s="11">
        <f>(J30*15/1000)</f>
        <v>172045.50947999995</v>
      </c>
      <c r="K36" s="11">
        <f t="shared" ref="K36:T36" si="14">(K30*15/1000)*0.395</f>
        <v>80862.521775000001</v>
      </c>
      <c r="L36" s="11">
        <f>(L30*15/1000)*0.398</f>
        <v>87658.821012</v>
      </c>
      <c r="M36" s="11">
        <f t="shared" si="14"/>
        <v>80025.516818449993</v>
      </c>
      <c r="N36" s="11">
        <f t="shared" si="14"/>
        <v>127662.83514499999</v>
      </c>
      <c r="O36" s="11" t="e">
        <f t="shared" si="14"/>
        <v>#DIV/0!</v>
      </c>
      <c r="P36" s="11" t="e">
        <f t="shared" si="14"/>
        <v>#DIV/0!</v>
      </c>
      <c r="Q36" s="11" t="e">
        <f t="shared" si="14"/>
        <v>#DIV/0!</v>
      </c>
      <c r="R36" s="11" t="e">
        <f t="shared" si="14"/>
        <v>#DIV/0!</v>
      </c>
      <c r="S36" s="11" t="e">
        <f t="shared" si="14"/>
        <v>#DIV/0!</v>
      </c>
      <c r="T36" s="11" t="e">
        <f t="shared" si="14"/>
        <v>#DIV/0!</v>
      </c>
      <c r="U36" s="3"/>
      <c r="V36" s="3"/>
      <c r="W36" s="3"/>
      <c r="X36" s="3"/>
      <c r="Y36" s="3"/>
      <c r="Z36" s="3"/>
      <c r="AA36" s="3"/>
    </row>
    <row r="37" spans="1:27">
      <c r="B37" s="3" t="s">
        <v>201</v>
      </c>
      <c r="E37" s="11">
        <f>E31</f>
        <v>151322.07999999999</v>
      </c>
      <c r="F37" s="11">
        <f>F31</f>
        <v>208313.18400000001</v>
      </c>
      <c r="G37" s="11">
        <f t="shared" ref="G37:T37" si="15">G31</f>
        <v>175736.046</v>
      </c>
      <c r="H37" s="11">
        <f t="shared" si="15"/>
        <v>156828.674</v>
      </c>
      <c r="I37" s="11">
        <f t="shared" si="15"/>
        <v>201550.23725000001</v>
      </c>
      <c r="J37" s="11">
        <f t="shared" si="15"/>
        <v>223636.45347000001</v>
      </c>
      <c r="K37" s="11">
        <f t="shared" si="15"/>
        <v>258589.43</v>
      </c>
      <c r="L37" s="11">
        <f t="shared" si="15"/>
        <v>272879.84999999998</v>
      </c>
      <c r="M37" s="11">
        <f t="shared" si="15"/>
        <v>253405.34967999996</v>
      </c>
      <c r="N37" s="11">
        <f t="shared" si="15"/>
        <v>404534.33899999998</v>
      </c>
      <c r="O37" s="11">
        <f t="shared" si="15"/>
        <v>0</v>
      </c>
      <c r="P37" s="11">
        <f t="shared" si="15"/>
        <v>0</v>
      </c>
      <c r="Q37" s="11">
        <f t="shared" si="15"/>
        <v>0</v>
      </c>
      <c r="R37" s="11">
        <f t="shared" si="15"/>
        <v>0</v>
      </c>
      <c r="S37" s="11">
        <f t="shared" si="15"/>
        <v>0</v>
      </c>
      <c r="T37" s="11">
        <f t="shared" si="15"/>
        <v>0</v>
      </c>
    </row>
    <row r="38" spans="1:27">
      <c r="B38" s="3" t="s">
        <v>205</v>
      </c>
      <c r="D38" s="38"/>
      <c r="E38" s="11">
        <f>(E32*60)/1000</f>
        <v>345532.04899999994</v>
      </c>
      <c r="F38" s="11">
        <f>(F32*60)/1000</f>
        <v>392803.41499999998</v>
      </c>
      <c r="G38" s="11">
        <f t="shared" ref="G38:T38" si="16">(G32*60)/1000</f>
        <v>298337.84760000004</v>
      </c>
      <c r="H38" s="11">
        <f t="shared" si="16"/>
        <v>353229.72899999999</v>
      </c>
      <c r="I38" s="11">
        <f t="shared" si="16"/>
        <v>479557.2</v>
      </c>
      <c r="J38" s="11">
        <f t="shared" si="16"/>
        <v>439660.66499999998</v>
      </c>
      <c r="K38" s="11">
        <f t="shared" si="16"/>
        <v>634018.78899999999</v>
      </c>
      <c r="L38" s="11">
        <f t="shared" si="16"/>
        <v>601461.6</v>
      </c>
      <c r="M38" s="11">
        <f t="shared" si="16"/>
        <v>663638.02679999999</v>
      </c>
      <c r="N38" s="11">
        <f t="shared" si="16"/>
        <v>930390.51599999995</v>
      </c>
      <c r="O38" s="11" t="e">
        <f t="shared" si="16"/>
        <v>#DIV/0!</v>
      </c>
      <c r="P38" s="11" t="e">
        <f t="shared" si="16"/>
        <v>#DIV/0!</v>
      </c>
      <c r="Q38" s="11" t="e">
        <f t="shared" si="16"/>
        <v>#DIV/0!</v>
      </c>
      <c r="R38" s="11" t="e">
        <f t="shared" si="16"/>
        <v>#DIV/0!</v>
      </c>
      <c r="S38" s="11" t="e">
        <f t="shared" si="16"/>
        <v>#DIV/0!</v>
      </c>
      <c r="T38" s="11" t="e">
        <f t="shared" si="16"/>
        <v>#DIV/0!</v>
      </c>
    </row>
    <row r="39" spans="1:27" ht="12" thickBot="1">
      <c r="B39" s="52" t="s">
        <v>206</v>
      </c>
      <c r="C39" s="66"/>
      <c r="D39" s="52"/>
      <c r="E39" s="67">
        <f>SUM(E35:E38)</f>
        <v>940447.41374500003</v>
      </c>
      <c r="F39" s="67">
        <f>SUM(F35:F38)</f>
        <v>1203316.778715</v>
      </c>
      <c r="G39" s="67">
        <f t="shared" ref="G39:T39" si="17">SUM(G35:G38)</f>
        <v>1177396.08849</v>
      </c>
      <c r="H39" s="67">
        <f t="shared" si="17"/>
        <v>1105692.8003100001</v>
      </c>
      <c r="I39" s="67">
        <f t="shared" si="17"/>
        <v>1500925.93507825</v>
      </c>
      <c r="J39" s="67">
        <f t="shared" si="17"/>
        <v>1685106.7129899999</v>
      </c>
      <c r="K39" s="67">
        <f t="shared" si="17"/>
        <v>1882653.4815750001</v>
      </c>
      <c r="L39" s="67">
        <f t="shared" si="17"/>
        <v>1872462.2190120001</v>
      </c>
      <c r="M39" s="67">
        <f t="shared" si="17"/>
        <v>1911423.0387484496</v>
      </c>
      <c r="N39" s="67">
        <f t="shared" si="17"/>
        <v>2729374.6501449998</v>
      </c>
      <c r="O39" s="67" t="e">
        <f t="shared" si="17"/>
        <v>#DIV/0!</v>
      </c>
      <c r="P39" s="67" t="e">
        <f t="shared" si="17"/>
        <v>#DIV/0!</v>
      </c>
      <c r="Q39" s="67" t="e">
        <f t="shared" si="17"/>
        <v>#DIV/0!</v>
      </c>
      <c r="R39" s="67" t="e">
        <f t="shared" si="17"/>
        <v>#DIV/0!</v>
      </c>
      <c r="S39" s="67" t="e">
        <f t="shared" si="17"/>
        <v>#DIV/0!</v>
      </c>
      <c r="T39" s="67" t="e">
        <f t="shared" si="17"/>
        <v>#DIV/0!</v>
      </c>
    </row>
    <row r="40" spans="1:27">
      <c r="E40" s="44"/>
      <c r="F40" s="44"/>
      <c r="G40" s="5"/>
      <c r="I40" s="8"/>
    </row>
    <row r="41" spans="1:27">
      <c r="B41" s="5" t="s">
        <v>207</v>
      </c>
      <c r="C41" s="30"/>
    </row>
    <row r="42" spans="1:27">
      <c r="B42" s="46" t="s">
        <v>89</v>
      </c>
      <c r="E42" s="33"/>
      <c r="F42" s="33"/>
      <c r="G42" s="33"/>
      <c r="H42" s="33"/>
      <c r="I42" s="33"/>
      <c r="J42" s="33"/>
      <c r="K42" s="33"/>
      <c r="L42" s="33"/>
      <c r="M42" s="33"/>
      <c r="N42" s="33"/>
      <c r="O42" s="33"/>
      <c r="P42" s="33"/>
      <c r="Q42" s="33"/>
      <c r="R42" s="33"/>
      <c r="S42" s="33"/>
      <c r="T42" s="33"/>
    </row>
    <row r="43" spans="1:27">
      <c r="B43" s="62" t="s">
        <v>208</v>
      </c>
      <c r="E43" s="33"/>
      <c r="F43" s="33"/>
      <c r="G43" s="33"/>
      <c r="H43" s="33"/>
      <c r="I43" s="33"/>
      <c r="J43" s="33"/>
      <c r="K43" s="33"/>
      <c r="L43" s="33"/>
      <c r="M43" s="33"/>
      <c r="N43" s="33"/>
      <c r="O43" s="33"/>
      <c r="P43" s="33"/>
      <c r="Q43" s="33"/>
      <c r="R43" s="33"/>
      <c r="S43" s="33"/>
      <c r="T43" s="33"/>
    </row>
    <row r="44" spans="1:27">
      <c r="B44" s="547">
        <v>2013</v>
      </c>
      <c r="E44" s="33">
        <v>1</v>
      </c>
      <c r="F44" s="33"/>
      <c r="G44" s="33"/>
      <c r="H44" s="33"/>
      <c r="I44" s="33"/>
      <c r="J44" s="33"/>
      <c r="K44" s="33"/>
      <c r="L44" s="33"/>
      <c r="M44" s="33"/>
      <c r="N44" s="33"/>
      <c r="O44" s="33"/>
      <c r="P44" s="33"/>
      <c r="Q44" s="33"/>
      <c r="R44" s="33"/>
      <c r="S44" s="33"/>
      <c r="T44" s="33"/>
      <c r="V44" s="8"/>
    </row>
    <row r="45" spans="1:27">
      <c r="B45" s="547">
        <v>2014</v>
      </c>
      <c r="E45" s="33"/>
      <c r="F45" s="33">
        <v>1</v>
      </c>
      <c r="G45" s="33"/>
      <c r="H45" s="33"/>
      <c r="I45" s="33"/>
      <c r="J45" s="33"/>
      <c r="K45" s="33"/>
      <c r="L45" s="33"/>
      <c r="M45" s="33"/>
      <c r="N45" s="33"/>
      <c r="O45" s="33"/>
      <c r="P45" s="33"/>
      <c r="Q45" s="33"/>
      <c r="R45" s="33"/>
      <c r="S45" s="33"/>
      <c r="T45" s="33"/>
      <c r="V45" s="8"/>
    </row>
    <row r="46" spans="1:27">
      <c r="B46" s="547">
        <v>2015</v>
      </c>
      <c r="E46" s="33"/>
      <c r="F46" s="33"/>
      <c r="G46" s="33">
        <v>1</v>
      </c>
      <c r="H46" s="33"/>
      <c r="I46" s="33"/>
      <c r="J46" s="33"/>
      <c r="K46" s="33"/>
      <c r="L46" s="33"/>
      <c r="M46" s="33"/>
      <c r="N46" s="33"/>
      <c r="O46" s="33"/>
      <c r="P46" s="33"/>
      <c r="Q46" s="33"/>
      <c r="R46" s="33"/>
      <c r="S46" s="33"/>
      <c r="T46" s="33"/>
      <c r="Z46" s="8"/>
    </row>
    <row r="47" spans="1:27">
      <c r="B47" s="547">
        <v>2016</v>
      </c>
      <c r="E47" s="68"/>
      <c r="F47" s="68"/>
      <c r="G47" s="68"/>
      <c r="H47" s="68">
        <v>1</v>
      </c>
      <c r="I47" s="68"/>
      <c r="J47" s="68"/>
      <c r="K47" s="68"/>
      <c r="L47" s="68"/>
      <c r="M47" s="68"/>
      <c r="N47" s="68"/>
      <c r="O47" s="68"/>
      <c r="P47" s="68"/>
      <c r="Q47" s="68"/>
      <c r="R47" s="68"/>
      <c r="S47" s="68"/>
      <c r="T47" s="68"/>
      <c r="X47" s="9"/>
      <c r="Y47" s="10"/>
      <c r="Z47" s="8"/>
    </row>
    <row r="48" spans="1:27">
      <c r="B48" s="547">
        <v>2017</v>
      </c>
      <c r="E48" s="68"/>
      <c r="F48" s="68"/>
      <c r="G48" s="68"/>
      <c r="H48" s="68"/>
      <c r="I48" s="68">
        <v>1</v>
      </c>
      <c r="J48" s="68"/>
      <c r="K48" s="68"/>
      <c r="L48" s="68"/>
      <c r="M48" s="68"/>
      <c r="N48" s="68"/>
      <c r="O48" s="68"/>
      <c r="P48" s="68"/>
      <c r="Q48" s="68"/>
      <c r="R48" s="68"/>
      <c r="S48" s="68"/>
      <c r="T48" s="68"/>
      <c r="Z48" s="8"/>
    </row>
    <row r="49" spans="2:20">
      <c r="B49" s="547">
        <v>2018</v>
      </c>
      <c r="E49" s="68"/>
      <c r="F49" s="68"/>
      <c r="G49" s="68"/>
      <c r="H49" s="68"/>
      <c r="I49" s="68"/>
      <c r="J49" s="68">
        <f>1-J50</f>
        <v>1</v>
      </c>
      <c r="K49" s="68"/>
      <c r="L49" s="68"/>
      <c r="M49" s="68"/>
      <c r="N49" s="68"/>
      <c r="O49" s="68"/>
      <c r="P49" s="68"/>
      <c r="Q49" s="68"/>
      <c r="R49" s="68"/>
      <c r="S49" s="68"/>
      <c r="T49" s="68"/>
    </row>
    <row r="50" spans="2:20">
      <c r="B50" s="547">
        <v>2019</v>
      </c>
      <c r="E50" s="68"/>
      <c r="F50" s="68"/>
      <c r="G50" s="68"/>
      <c r="H50" s="68"/>
      <c r="I50" s="68"/>
      <c r="J50" s="68"/>
      <c r="K50" s="68">
        <v>1</v>
      </c>
      <c r="L50" s="68"/>
      <c r="M50" s="68"/>
      <c r="N50" s="68"/>
      <c r="O50" s="68"/>
      <c r="P50" s="68"/>
      <c r="Q50" s="68"/>
      <c r="R50" s="68"/>
      <c r="S50" s="68"/>
      <c r="T50" s="68"/>
    </row>
    <row r="51" spans="2:20">
      <c r="B51" s="547">
        <v>2020</v>
      </c>
      <c r="E51" s="68"/>
      <c r="F51" s="68"/>
      <c r="G51" s="68"/>
      <c r="H51" s="68"/>
      <c r="I51" s="68"/>
      <c r="J51" s="68"/>
      <c r="K51" s="68"/>
      <c r="L51" s="68">
        <v>1</v>
      </c>
      <c r="M51" s="68"/>
      <c r="N51" s="68"/>
      <c r="O51" s="68"/>
      <c r="P51" s="68"/>
      <c r="Q51" s="68"/>
      <c r="R51" s="68"/>
      <c r="S51" s="68"/>
      <c r="T51" s="68"/>
    </row>
    <row r="52" spans="2:20">
      <c r="B52" s="547">
        <v>2021</v>
      </c>
      <c r="E52" s="68"/>
      <c r="F52" s="68"/>
      <c r="G52" s="68"/>
      <c r="H52" s="68"/>
      <c r="I52" s="68"/>
      <c r="J52" s="68"/>
      <c r="K52" s="68"/>
      <c r="L52" s="68"/>
      <c r="M52" s="68">
        <v>1</v>
      </c>
      <c r="N52" s="68"/>
      <c r="O52" s="68"/>
      <c r="P52" s="68"/>
      <c r="Q52" s="68"/>
      <c r="R52" s="68"/>
      <c r="S52" s="68"/>
      <c r="T52" s="68"/>
    </row>
    <row r="53" spans="2:20">
      <c r="B53" s="547">
        <v>2022</v>
      </c>
      <c r="E53" s="68"/>
      <c r="F53" s="68"/>
      <c r="G53" s="68"/>
      <c r="H53" s="68"/>
      <c r="I53" s="68"/>
      <c r="J53" s="68"/>
      <c r="K53" s="68"/>
      <c r="L53" s="68"/>
      <c r="M53" s="68"/>
      <c r="N53" s="68">
        <v>1</v>
      </c>
      <c r="O53" s="68"/>
      <c r="P53" s="68"/>
      <c r="Q53" s="68"/>
      <c r="R53" s="68"/>
      <c r="S53" s="68"/>
      <c r="T53" s="68"/>
    </row>
    <row r="54" spans="2:20">
      <c r="B54" s="547">
        <v>2023</v>
      </c>
      <c r="E54" s="68"/>
      <c r="F54" s="68"/>
      <c r="G54" s="68"/>
      <c r="H54" s="68"/>
      <c r="I54" s="68"/>
      <c r="J54" s="68"/>
      <c r="K54" s="68"/>
      <c r="L54" s="68"/>
      <c r="M54" s="68"/>
      <c r="N54" s="68"/>
      <c r="O54" s="68">
        <v>1</v>
      </c>
      <c r="P54" s="68"/>
      <c r="Q54" s="68"/>
      <c r="R54" s="68"/>
      <c r="S54" s="68"/>
      <c r="T54" s="68"/>
    </row>
    <row r="55" spans="2:20">
      <c r="B55" s="547">
        <v>2024</v>
      </c>
      <c r="E55" s="68"/>
      <c r="F55" s="68"/>
      <c r="G55" s="68"/>
      <c r="H55" s="68"/>
      <c r="I55" s="68"/>
      <c r="J55" s="68"/>
      <c r="K55" s="68"/>
      <c r="L55" s="68"/>
      <c r="M55" s="68"/>
      <c r="N55" s="68"/>
      <c r="O55" s="68"/>
      <c r="P55" s="68">
        <v>1</v>
      </c>
      <c r="Q55" s="68"/>
      <c r="R55" s="68"/>
      <c r="S55" s="68"/>
      <c r="T55" s="68"/>
    </row>
    <row r="56" spans="2:20">
      <c r="B56" s="547">
        <v>2025</v>
      </c>
      <c r="E56" s="68"/>
      <c r="F56" s="68"/>
      <c r="G56" s="68"/>
      <c r="H56" s="68"/>
      <c r="I56" s="68"/>
      <c r="J56" s="68"/>
      <c r="K56" s="68"/>
      <c r="L56" s="68"/>
      <c r="M56" s="68"/>
      <c r="N56" s="68"/>
      <c r="O56" s="68"/>
      <c r="P56" s="68"/>
      <c r="Q56" s="68">
        <v>1</v>
      </c>
      <c r="R56" s="68"/>
      <c r="S56" s="68"/>
      <c r="T56" s="68"/>
    </row>
    <row r="57" spans="2:20">
      <c r="B57" s="547">
        <v>2026</v>
      </c>
      <c r="E57" s="68"/>
      <c r="F57" s="68"/>
      <c r="G57" s="68"/>
      <c r="H57" s="68"/>
      <c r="I57" s="68"/>
      <c r="J57" s="68"/>
      <c r="K57" s="68"/>
      <c r="L57" s="68"/>
      <c r="M57" s="68"/>
      <c r="N57" s="68"/>
      <c r="O57" s="68"/>
      <c r="P57" s="68"/>
      <c r="Q57" s="68"/>
      <c r="R57" s="68">
        <v>1</v>
      </c>
      <c r="S57" s="68"/>
      <c r="T57" s="68"/>
    </row>
    <row r="58" spans="2:20">
      <c r="B58" s="547">
        <v>2027</v>
      </c>
      <c r="E58" s="68"/>
      <c r="F58" s="68"/>
      <c r="G58" s="68"/>
      <c r="H58" s="68"/>
      <c r="I58" s="68"/>
      <c r="J58" s="68"/>
      <c r="K58" s="68"/>
      <c r="L58" s="68"/>
      <c r="M58" s="68"/>
      <c r="N58" s="68"/>
      <c r="O58" s="68"/>
      <c r="P58" s="68"/>
      <c r="Q58" s="68"/>
      <c r="R58" s="68"/>
      <c r="S58" s="68">
        <v>1</v>
      </c>
      <c r="T58" s="68"/>
    </row>
    <row r="59" spans="2:20">
      <c r="B59" s="547">
        <v>2028</v>
      </c>
      <c r="E59" s="68"/>
      <c r="F59" s="68"/>
      <c r="G59" s="68"/>
      <c r="H59" s="68"/>
      <c r="I59" s="68"/>
      <c r="J59" s="68"/>
      <c r="K59" s="68"/>
      <c r="L59" s="68"/>
      <c r="M59" s="68"/>
      <c r="N59" s="68"/>
      <c r="O59" s="68"/>
      <c r="P59" s="68"/>
      <c r="Q59" s="68"/>
      <c r="R59" s="68"/>
      <c r="S59" s="68"/>
      <c r="T59" s="68">
        <v>1</v>
      </c>
    </row>
    <row r="60" spans="2:20">
      <c r="B60" s="547">
        <v>2029</v>
      </c>
      <c r="E60" s="68"/>
      <c r="F60" s="68"/>
      <c r="G60" s="68"/>
      <c r="H60" s="68"/>
      <c r="I60" s="68"/>
      <c r="J60" s="68"/>
      <c r="K60" s="68"/>
      <c r="L60" s="68"/>
      <c r="M60" s="68"/>
      <c r="N60" s="68"/>
      <c r="O60" s="68"/>
      <c r="P60" s="68"/>
      <c r="Q60" s="68"/>
      <c r="R60" s="68"/>
      <c r="S60" s="68"/>
      <c r="T60" s="68"/>
    </row>
    <row r="61" spans="2:20">
      <c r="B61" s="71"/>
      <c r="C61" s="27"/>
      <c r="D61" s="26"/>
      <c r="E61" s="72"/>
      <c r="F61" s="72"/>
      <c r="G61" s="72"/>
      <c r="H61" s="72"/>
      <c r="I61" s="72"/>
      <c r="J61" s="72"/>
      <c r="K61" s="72"/>
      <c r="L61" s="72"/>
      <c r="M61" s="72"/>
      <c r="N61" s="72"/>
      <c r="O61" s="72"/>
      <c r="P61" s="72"/>
      <c r="Q61" s="72"/>
      <c r="R61" s="72"/>
      <c r="S61" s="72"/>
      <c r="T61" s="72"/>
    </row>
    <row r="62" spans="2:20">
      <c r="B62" s="46" t="s">
        <v>114</v>
      </c>
      <c r="E62" s="68"/>
      <c r="F62" s="68"/>
      <c r="G62" s="68"/>
      <c r="H62" s="68"/>
      <c r="I62" s="68"/>
      <c r="J62" s="68"/>
      <c r="K62" s="68"/>
      <c r="L62" s="68"/>
      <c r="M62" s="68"/>
      <c r="N62" s="68"/>
      <c r="O62" s="68"/>
      <c r="P62" s="68"/>
      <c r="Q62" s="68"/>
      <c r="R62" s="68"/>
      <c r="S62" s="68"/>
      <c r="T62" s="68"/>
    </row>
    <row r="63" spans="2:20">
      <c r="B63" s="62" t="s">
        <v>208</v>
      </c>
      <c r="E63" s="68"/>
      <c r="F63" s="68"/>
      <c r="G63" s="68"/>
      <c r="H63" s="68"/>
      <c r="I63" s="68"/>
      <c r="J63" s="68"/>
      <c r="K63" s="68"/>
      <c r="L63" s="68"/>
      <c r="M63" s="68"/>
      <c r="N63" s="68"/>
      <c r="O63" s="68"/>
      <c r="P63" s="68"/>
      <c r="Q63" s="68"/>
      <c r="R63" s="68"/>
      <c r="S63" s="68"/>
      <c r="T63" s="68"/>
    </row>
    <row r="64" spans="2:20">
      <c r="B64" s="547">
        <v>2013</v>
      </c>
      <c r="E64" s="506">
        <f>100%-E65</f>
        <v>0.57109999999999994</v>
      </c>
      <c r="F64" s="506"/>
      <c r="G64" s="506"/>
      <c r="H64" s="506"/>
      <c r="I64" s="506"/>
      <c r="J64" s="506"/>
      <c r="K64" s="506"/>
      <c r="L64" s="506"/>
      <c r="M64" s="506"/>
      <c r="N64" s="506"/>
      <c r="O64" s="506"/>
      <c r="P64" s="506"/>
      <c r="Q64" s="506"/>
      <c r="R64" s="506"/>
      <c r="S64" s="506"/>
      <c r="T64" s="506"/>
    </row>
    <row r="65" spans="2:20">
      <c r="B65" s="547">
        <v>2014</v>
      </c>
      <c r="E65" s="506">
        <v>0.4289</v>
      </c>
      <c r="F65" s="506">
        <f>100%-F66</f>
        <v>0.61450000000000005</v>
      </c>
      <c r="G65" s="506"/>
      <c r="H65" s="506"/>
      <c r="I65" s="506"/>
      <c r="J65" s="506"/>
      <c r="K65" s="506"/>
      <c r="L65" s="506"/>
      <c r="M65" s="506"/>
      <c r="N65" s="506"/>
      <c r="O65" s="506"/>
      <c r="P65" s="506"/>
      <c r="Q65" s="506"/>
      <c r="R65" s="506"/>
      <c r="S65" s="506"/>
      <c r="T65" s="506"/>
    </row>
    <row r="66" spans="2:20">
      <c r="B66" s="547">
        <v>2015</v>
      </c>
      <c r="E66" s="506"/>
      <c r="F66" s="506">
        <v>0.38550000000000001</v>
      </c>
      <c r="G66" s="506">
        <f>100%-G67</f>
        <v>0.60250000000000004</v>
      </c>
      <c r="H66" s="506"/>
      <c r="I66" s="506"/>
      <c r="J66" s="506"/>
      <c r="K66" s="506"/>
      <c r="L66" s="506"/>
      <c r="M66" s="506"/>
      <c r="N66" s="506"/>
      <c r="O66" s="506"/>
      <c r="P66" s="506"/>
      <c r="Q66" s="506"/>
      <c r="R66" s="506"/>
      <c r="S66" s="506"/>
      <c r="T66" s="506"/>
    </row>
    <row r="67" spans="2:20">
      <c r="B67" s="547">
        <v>2016</v>
      </c>
      <c r="E67" s="506"/>
      <c r="F67" s="506"/>
      <c r="G67" s="506">
        <v>0.39750000000000002</v>
      </c>
      <c r="H67" s="506">
        <f>100%-H68</f>
        <v>0.71079999999999999</v>
      </c>
      <c r="I67" s="506"/>
      <c r="J67" s="506"/>
      <c r="K67" s="506"/>
      <c r="L67" s="506"/>
      <c r="M67" s="506"/>
      <c r="N67" s="506"/>
      <c r="O67" s="506"/>
      <c r="P67" s="506"/>
      <c r="Q67" s="506"/>
      <c r="R67" s="506"/>
      <c r="S67" s="506"/>
      <c r="T67" s="506"/>
    </row>
    <row r="68" spans="2:20">
      <c r="B68" s="547">
        <v>2017</v>
      </c>
      <c r="E68" s="507"/>
      <c r="F68" s="507"/>
      <c r="G68" s="506"/>
      <c r="H68" s="506">
        <v>0.28920000000000001</v>
      </c>
      <c r="I68" s="506">
        <v>0.64600000000000002</v>
      </c>
      <c r="J68" s="506"/>
      <c r="K68" s="506"/>
      <c r="L68" s="506"/>
      <c r="M68" s="506"/>
      <c r="N68" s="506"/>
      <c r="O68" s="506"/>
      <c r="P68" s="506"/>
      <c r="Q68" s="506"/>
      <c r="R68" s="506"/>
      <c r="S68" s="506"/>
      <c r="T68" s="506"/>
    </row>
    <row r="69" spans="2:20">
      <c r="B69" s="547">
        <v>2018</v>
      </c>
      <c r="E69" s="507"/>
      <c r="F69" s="507"/>
      <c r="G69" s="506"/>
      <c r="H69" s="506"/>
      <c r="I69" s="506">
        <v>0.35399999999999998</v>
      </c>
      <c r="J69" s="506">
        <v>0.65200000000000002</v>
      </c>
      <c r="K69" s="506"/>
      <c r="L69" s="506"/>
      <c r="M69" s="506"/>
      <c r="N69" s="506"/>
      <c r="O69" s="506"/>
      <c r="P69" s="506"/>
      <c r="Q69" s="506"/>
      <c r="R69" s="506"/>
      <c r="S69" s="506"/>
      <c r="T69" s="506"/>
    </row>
    <row r="70" spans="2:20">
      <c r="B70" s="547">
        <v>2019</v>
      </c>
      <c r="E70" s="507"/>
      <c r="F70" s="507"/>
      <c r="G70" s="506"/>
      <c r="H70" s="506"/>
      <c r="I70" s="506"/>
      <c r="J70" s="506">
        <v>0.34799999999999998</v>
      </c>
      <c r="K70" s="506">
        <v>0.59099999999999997</v>
      </c>
      <c r="L70" s="506"/>
      <c r="M70" s="506"/>
      <c r="N70" s="506"/>
      <c r="O70" s="506"/>
      <c r="P70" s="506"/>
      <c r="Q70" s="506"/>
      <c r="R70" s="506"/>
      <c r="S70" s="506"/>
      <c r="T70" s="506"/>
    </row>
    <row r="71" spans="2:20">
      <c r="B71" s="547">
        <v>2020</v>
      </c>
      <c r="E71" s="507"/>
      <c r="F71" s="507"/>
      <c r="G71" s="506"/>
      <c r="H71" s="506"/>
      <c r="I71" s="506"/>
      <c r="J71" s="506"/>
      <c r="K71" s="506">
        <v>0.40899999999999997</v>
      </c>
      <c r="L71" s="506">
        <v>0.60399999999999998</v>
      </c>
      <c r="M71" s="506"/>
      <c r="N71" s="506"/>
      <c r="O71" s="506"/>
      <c r="P71" s="506"/>
      <c r="Q71" s="506"/>
      <c r="R71" s="506"/>
      <c r="S71" s="506"/>
      <c r="T71" s="506"/>
    </row>
    <row r="72" spans="2:20">
      <c r="B72" s="547">
        <v>2021</v>
      </c>
      <c r="E72" s="507"/>
      <c r="F72" s="507"/>
      <c r="G72" s="506"/>
      <c r="H72" s="506"/>
      <c r="I72" s="506"/>
      <c r="J72" s="506"/>
      <c r="K72" s="506"/>
      <c r="L72" s="506">
        <v>0.39600000000000002</v>
      </c>
      <c r="M72" s="506">
        <v>0.6</v>
      </c>
      <c r="N72" s="506"/>
      <c r="O72" s="506"/>
      <c r="P72" s="506"/>
      <c r="Q72" s="506"/>
      <c r="R72" s="506"/>
      <c r="S72" s="506"/>
      <c r="T72" s="506"/>
    </row>
    <row r="73" spans="2:20">
      <c r="B73" s="547">
        <v>2022</v>
      </c>
      <c r="E73" s="507"/>
      <c r="F73" s="507"/>
      <c r="G73" s="506"/>
      <c r="H73" s="506"/>
      <c r="I73" s="506"/>
      <c r="J73" s="506"/>
      <c r="K73" s="506"/>
      <c r="L73" s="506"/>
      <c r="M73" s="506">
        <v>0.4</v>
      </c>
      <c r="N73" s="506">
        <v>0.6</v>
      </c>
      <c r="O73" s="506"/>
      <c r="P73" s="506"/>
      <c r="Q73" s="506"/>
      <c r="R73" s="506"/>
      <c r="S73" s="506"/>
      <c r="T73" s="506"/>
    </row>
    <row r="74" spans="2:20">
      <c r="B74" s="547">
        <v>2023</v>
      </c>
      <c r="E74" s="507"/>
      <c r="F74" s="507"/>
      <c r="G74" s="506"/>
      <c r="H74" s="506"/>
      <c r="I74" s="506"/>
      <c r="J74" s="506"/>
      <c r="K74" s="506"/>
      <c r="L74" s="506"/>
      <c r="M74" s="506"/>
      <c r="N74" s="506">
        <v>0.4</v>
      </c>
      <c r="O74" s="506">
        <v>0.6</v>
      </c>
      <c r="P74" s="506"/>
      <c r="Q74" s="506"/>
      <c r="R74" s="506"/>
      <c r="S74" s="506"/>
      <c r="T74" s="506"/>
    </row>
    <row r="75" spans="2:20">
      <c r="B75" s="547">
        <v>2024</v>
      </c>
      <c r="E75" s="507"/>
      <c r="F75" s="507"/>
      <c r="G75" s="506"/>
      <c r="H75" s="506"/>
      <c r="I75" s="506"/>
      <c r="J75" s="506"/>
      <c r="K75" s="506"/>
      <c r="L75" s="506"/>
      <c r="M75" s="506"/>
      <c r="N75" s="506"/>
      <c r="O75" s="506">
        <v>0.4</v>
      </c>
      <c r="P75" s="506">
        <v>0.6</v>
      </c>
      <c r="Q75" s="506"/>
      <c r="R75" s="506"/>
      <c r="S75" s="506"/>
      <c r="T75" s="506"/>
    </row>
    <row r="76" spans="2:20">
      <c r="B76" s="547">
        <v>2025</v>
      </c>
      <c r="E76" s="507"/>
      <c r="F76" s="507"/>
      <c r="G76" s="506"/>
      <c r="H76" s="506"/>
      <c r="I76" s="506"/>
      <c r="J76" s="506"/>
      <c r="K76" s="506"/>
      <c r="L76" s="506"/>
      <c r="M76" s="506"/>
      <c r="N76" s="506"/>
      <c r="O76" s="506"/>
      <c r="P76" s="506">
        <v>0.4</v>
      </c>
      <c r="Q76" s="506">
        <v>0.6</v>
      </c>
      <c r="R76" s="506"/>
      <c r="S76" s="506"/>
      <c r="T76" s="506"/>
    </row>
    <row r="77" spans="2:20">
      <c r="B77" s="547">
        <v>2026</v>
      </c>
      <c r="E77" s="507"/>
      <c r="F77" s="507"/>
      <c r="G77" s="506"/>
      <c r="H77" s="506"/>
      <c r="I77" s="506"/>
      <c r="J77" s="506"/>
      <c r="K77" s="506"/>
      <c r="L77" s="506"/>
      <c r="M77" s="506"/>
      <c r="N77" s="506"/>
      <c r="O77" s="506"/>
      <c r="P77" s="506"/>
      <c r="Q77" s="506">
        <v>0.4</v>
      </c>
      <c r="R77" s="506">
        <v>0.6</v>
      </c>
      <c r="S77" s="506"/>
      <c r="T77" s="506"/>
    </row>
    <row r="78" spans="2:20">
      <c r="B78" s="547">
        <v>2027</v>
      </c>
      <c r="E78" s="507"/>
      <c r="F78" s="507"/>
      <c r="G78" s="506"/>
      <c r="H78" s="506"/>
      <c r="I78" s="506"/>
      <c r="J78" s="506"/>
      <c r="K78" s="506"/>
      <c r="L78" s="506"/>
      <c r="M78" s="506"/>
      <c r="N78" s="506"/>
      <c r="O78" s="506"/>
      <c r="P78" s="506"/>
      <c r="Q78" s="506"/>
      <c r="R78" s="506">
        <v>0.4</v>
      </c>
      <c r="S78" s="506">
        <v>0.6</v>
      </c>
      <c r="T78" s="506"/>
    </row>
    <row r="79" spans="2:20">
      <c r="B79" s="547">
        <v>2028</v>
      </c>
      <c r="E79" s="507"/>
      <c r="F79" s="507"/>
      <c r="G79" s="506"/>
      <c r="H79" s="506"/>
      <c r="I79" s="506"/>
      <c r="J79" s="506"/>
      <c r="K79" s="506"/>
      <c r="L79" s="506"/>
      <c r="M79" s="506"/>
      <c r="N79" s="506"/>
      <c r="O79" s="506"/>
      <c r="P79" s="506"/>
      <c r="Q79" s="506"/>
      <c r="R79" s="506"/>
      <c r="S79" s="506">
        <v>0.4</v>
      </c>
      <c r="T79" s="506">
        <v>0.6</v>
      </c>
    </row>
    <row r="80" spans="2:20">
      <c r="B80" s="547">
        <v>2029</v>
      </c>
      <c r="E80" s="507"/>
      <c r="F80" s="507"/>
      <c r="G80" s="506"/>
      <c r="H80" s="506"/>
      <c r="I80" s="506"/>
      <c r="J80" s="506"/>
      <c r="K80" s="506"/>
      <c r="L80" s="506"/>
      <c r="M80" s="506"/>
      <c r="N80" s="506"/>
      <c r="O80" s="506"/>
      <c r="P80" s="506"/>
      <c r="Q80" s="506"/>
      <c r="R80" s="506"/>
      <c r="S80" s="506"/>
      <c r="T80" s="506">
        <v>0.4</v>
      </c>
    </row>
    <row r="81" spans="2:21">
      <c r="B81" s="71"/>
      <c r="C81" s="27"/>
      <c r="D81" s="26"/>
      <c r="E81" s="72"/>
      <c r="F81" s="72"/>
      <c r="G81" s="72"/>
      <c r="H81" s="72"/>
      <c r="I81" s="72"/>
      <c r="J81" s="72"/>
      <c r="K81" s="72"/>
      <c r="L81" s="72"/>
      <c r="M81" s="72"/>
      <c r="N81" s="72"/>
      <c r="O81" s="72"/>
      <c r="P81" s="72"/>
      <c r="Q81" s="72"/>
      <c r="R81" s="72"/>
      <c r="S81" s="72"/>
      <c r="T81" s="72"/>
    </row>
    <row r="82" spans="2:21">
      <c r="B82" s="46" t="s">
        <v>118</v>
      </c>
      <c r="E82" s="68"/>
      <c r="F82" s="68"/>
      <c r="G82" s="141"/>
      <c r="H82" s="68"/>
      <c r="I82" s="68"/>
      <c r="J82" s="68"/>
      <c r="K82" s="68"/>
      <c r="L82" s="68"/>
      <c r="M82" s="68"/>
      <c r="N82" s="68"/>
      <c r="O82" s="68"/>
      <c r="P82" s="68"/>
      <c r="Q82" s="68"/>
      <c r="R82" s="68"/>
      <c r="S82" s="68"/>
      <c r="T82" s="68"/>
    </row>
    <row r="83" spans="2:21">
      <c r="B83" s="62" t="s">
        <v>208</v>
      </c>
      <c r="E83" s="68"/>
      <c r="F83" s="68"/>
      <c r="G83" s="68"/>
      <c r="H83" s="68"/>
      <c r="I83" s="68"/>
      <c r="J83" s="68"/>
      <c r="K83" s="68"/>
      <c r="L83" s="68"/>
      <c r="M83" s="68"/>
      <c r="N83" s="68"/>
      <c r="O83" s="68"/>
      <c r="P83" s="68"/>
      <c r="Q83" s="68"/>
      <c r="R83" s="68"/>
      <c r="S83" s="68"/>
      <c r="T83" s="68"/>
    </row>
    <row r="84" spans="2:21">
      <c r="B84" s="547">
        <v>2013</v>
      </c>
      <c r="E84" s="506">
        <f>1-E85</f>
        <v>0.86990000000000001</v>
      </c>
      <c r="F84" s="506"/>
      <c r="G84" s="506"/>
      <c r="H84" s="506"/>
      <c r="I84" s="506"/>
      <c r="J84" s="506"/>
      <c r="K84" s="506"/>
      <c r="L84" s="506"/>
      <c r="M84" s="506"/>
      <c r="N84" s="506"/>
      <c r="O84" s="506"/>
      <c r="P84" s="506"/>
      <c r="Q84" s="506"/>
      <c r="R84" s="506"/>
      <c r="S84" s="506"/>
      <c r="T84" s="506"/>
      <c r="U84" s="508"/>
    </row>
    <row r="85" spans="2:21">
      <c r="B85" s="547">
        <v>2014</v>
      </c>
      <c r="E85" s="506">
        <v>0.13009999999999999</v>
      </c>
      <c r="F85" s="506">
        <f>1-F86</f>
        <v>0.82420000000000004</v>
      </c>
      <c r="G85" s="506"/>
      <c r="H85" s="506"/>
      <c r="I85" s="506"/>
      <c r="J85" s="506"/>
      <c r="K85" s="506"/>
      <c r="L85" s="506"/>
      <c r="M85" s="506"/>
      <c r="N85" s="506"/>
      <c r="O85" s="506"/>
      <c r="P85" s="506"/>
      <c r="Q85" s="506"/>
      <c r="R85" s="506"/>
      <c r="S85" s="506"/>
      <c r="T85" s="506"/>
      <c r="U85" s="508"/>
    </row>
    <row r="86" spans="2:21">
      <c r="B86" s="547">
        <v>2015</v>
      </c>
      <c r="E86" s="506"/>
      <c r="F86" s="506">
        <v>0.17580000000000001</v>
      </c>
      <c r="G86" s="506">
        <f>1-G87</f>
        <v>0.86</v>
      </c>
      <c r="H86" s="506"/>
      <c r="I86" s="506"/>
      <c r="J86" s="506"/>
      <c r="K86" s="506"/>
      <c r="L86" s="506"/>
      <c r="M86" s="506"/>
      <c r="N86" s="506"/>
      <c r="O86" s="506"/>
      <c r="P86" s="506"/>
      <c r="Q86" s="506"/>
      <c r="R86" s="506"/>
      <c r="S86" s="506"/>
      <c r="T86" s="506"/>
      <c r="U86" s="508"/>
    </row>
    <row r="87" spans="2:21">
      <c r="B87" s="547">
        <v>2016</v>
      </c>
      <c r="E87" s="506"/>
      <c r="F87" s="506"/>
      <c r="G87" s="506">
        <v>0.14000000000000001</v>
      </c>
      <c r="H87" s="506">
        <f>1-H88</f>
        <v>0.95530000000000004</v>
      </c>
      <c r="I87" s="506"/>
      <c r="J87" s="506"/>
      <c r="K87" s="506"/>
      <c r="L87" s="506"/>
      <c r="M87" s="506"/>
      <c r="N87" s="506"/>
      <c r="O87" s="506"/>
      <c r="P87" s="506"/>
      <c r="Q87" s="506"/>
      <c r="R87" s="506"/>
      <c r="S87" s="506"/>
      <c r="T87" s="506"/>
      <c r="U87" s="508"/>
    </row>
    <row r="88" spans="2:21">
      <c r="B88" s="547">
        <v>2017</v>
      </c>
      <c r="E88" s="506"/>
      <c r="F88" s="506"/>
      <c r="G88" s="506"/>
      <c r="H88" s="506">
        <v>4.4699999999999997E-2</v>
      </c>
      <c r="I88" s="506">
        <f>1-I89</f>
        <v>0.84079999999999999</v>
      </c>
      <c r="J88" s="506"/>
      <c r="K88" s="506"/>
      <c r="L88" s="506"/>
      <c r="M88" s="506"/>
      <c r="N88" s="506"/>
      <c r="O88" s="506"/>
      <c r="P88" s="506"/>
      <c r="Q88" s="506"/>
      <c r="R88" s="506"/>
      <c r="S88" s="506"/>
      <c r="T88" s="506"/>
      <c r="U88" s="508"/>
    </row>
    <row r="89" spans="2:21">
      <c r="B89" s="547">
        <v>2018</v>
      </c>
      <c r="E89" s="506"/>
      <c r="F89" s="506"/>
      <c r="G89" s="506"/>
      <c r="H89" s="506"/>
      <c r="I89" s="506">
        <v>0.15920000000000001</v>
      </c>
      <c r="J89" s="506">
        <v>0.82</v>
      </c>
      <c r="K89" s="506"/>
      <c r="L89" s="506"/>
      <c r="M89" s="506"/>
      <c r="N89" s="506"/>
      <c r="O89" s="506"/>
      <c r="P89" s="506"/>
      <c r="Q89" s="506"/>
      <c r="R89" s="506"/>
      <c r="S89" s="506"/>
      <c r="T89" s="506"/>
      <c r="U89" s="508"/>
    </row>
    <row r="90" spans="2:21">
      <c r="B90" s="547">
        <v>2019</v>
      </c>
      <c r="E90" s="506"/>
      <c r="F90" s="506"/>
      <c r="G90" s="506"/>
      <c r="H90" s="506"/>
      <c r="I90" s="506"/>
      <c r="J90" s="506">
        <v>0.18</v>
      </c>
      <c r="K90" s="506">
        <v>0.78600000000000003</v>
      </c>
      <c r="L90" s="506"/>
      <c r="M90" s="506"/>
      <c r="N90" s="506"/>
      <c r="O90" s="506"/>
      <c r="P90" s="506"/>
      <c r="Q90" s="506"/>
      <c r="R90" s="506"/>
      <c r="S90" s="506"/>
      <c r="T90" s="506"/>
      <c r="U90" s="508"/>
    </row>
    <row r="91" spans="2:21">
      <c r="B91" s="547">
        <v>2020</v>
      </c>
      <c r="E91" s="506"/>
      <c r="F91" s="506"/>
      <c r="G91" s="506"/>
      <c r="H91" s="506"/>
      <c r="I91" s="506"/>
      <c r="J91" s="506"/>
      <c r="K91" s="506">
        <v>0.214</v>
      </c>
      <c r="L91" s="506">
        <f>1-L92</f>
        <v>0.86</v>
      </c>
      <c r="M91" s="506"/>
      <c r="N91" s="506"/>
      <c r="O91" s="506"/>
      <c r="P91" s="506"/>
      <c r="Q91" s="506"/>
      <c r="R91" s="506"/>
      <c r="S91" s="506"/>
      <c r="T91" s="506"/>
      <c r="U91" s="508"/>
    </row>
    <row r="92" spans="2:21">
      <c r="B92" s="547">
        <v>2021</v>
      </c>
      <c r="E92" s="506"/>
      <c r="F92" s="506"/>
      <c r="G92" s="506"/>
      <c r="H92" s="506"/>
      <c r="I92" s="506"/>
      <c r="J92" s="506"/>
      <c r="K92" s="506"/>
      <c r="L92" s="506">
        <v>0.14000000000000001</v>
      </c>
      <c r="M92" s="506">
        <f>1-M93</f>
        <v>0.86</v>
      </c>
      <c r="N92" s="506"/>
      <c r="O92" s="506"/>
      <c r="P92" s="506"/>
      <c r="Q92" s="506"/>
      <c r="R92" s="506"/>
      <c r="S92" s="506"/>
      <c r="T92" s="506"/>
      <c r="U92" s="508"/>
    </row>
    <row r="93" spans="2:21">
      <c r="B93" s="547">
        <v>2022</v>
      </c>
      <c r="E93" s="506"/>
      <c r="F93" s="506"/>
      <c r="G93" s="506"/>
      <c r="H93" s="506"/>
      <c r="I93" s="506"/>
      <c r="J93" s="506"/>
      <c r="K93" s="506"/>
      <c r="L93" s="506"/>
      <c r="M93" s="506">
        <v>0.14000000000000001</v>
      </c>
      <c r="N93" s="506">
        <f>1-N94</f>
        <v>0.86</v>
      </c>
      <c r="O93" s="506"/>
      <c r="P93" s="506"/>
      <c r="Q93" s="506"/>
      <c r="R93" s="506"/>
      <c r="S93" s="506"/>
      <c r="T93" s="506"/>
      <c r="U93" s="508"/>
    </row>
    <row r="94" spans="2:21">
      <c r="B94" s="547">
        <v>2023</v>
      </c>
      <c r="E94" s="506"/>
      <c r="F94" s="506"/>
      <c r="G94" s="506"/>
      <c r="H94" s="506"/>
      <c r="I94" s="506"/>
      <c r="J94" s="506"/>
      <c r="K94" s="506"/>
      <c r="L94" s="506"/>
      <c r="M94" s="506"/>
      <c r="N94" s="506">
        <v>0.14000000000000001</v>
      </c>
      <c r="O94" s="506">
        <f>1-O95</f>
        <v>0.86</v>
      </c>
      <c r="P94" s="506"/>
      <c r="Q94" s="506"/>
      <c r="R94" s="506"/>
      <c r="S94" s="506"/>
      <c r="T94" s="506"/>
      <c r="U94" s="508"/>
    </row>
    <row r="95" spans="2:21">
      <c r="B95" s="547">
        <v>2024</v>
      </c>
      <c r="E95" s="506"/>
      <c r="F95" s="506"/>
      <c r="G95" s="506"/>
      <c r="H95" s="506"/>
      <c r="I95" s="506"/>
      <c r="J95" s="506"/>
      <c r="K95" s="506"/>
      <c r="L95" s="506"/>
      <c r="M95" s="506"/>
      <c r="N95" s="506"/>
      <c r="O95" s="506">
        <v>0.14000000000000001</v>
      </c>
      <c r="P95" s="506">
        <f>1-P96</f>
        <v>0.86</v>
      </c>
      <c r="Q95" s="506"/>
      <c r="R95" s="506"/>
      <c r="S95" s="506"/>
      <c r="T95" s="506"/>
      <c r="U95" s="508"/>
    </row>
    <row r="96" spans="2:21">
      <c r="B96" s="547">
        <v>2025</v>
      </c>
      <c r="E96" s="506"/>
      <c r="F96" s="506"/>
      <c r="G96" s="506"/>
      <c r="H96" s="506"/>
      <c r="I96" s="506"/>
      <c r="J96" s="506"/>
      <c r="K96" s="506"/>
      <c r="L96" s="506"/>
      <c r="M96" s="506"/>
      <c r="N96" s="506"/>
      <c r="O96" s="506"/>
      <c r="P96" s="506">
        <v>0.14000000000000001</v>
      </c>
      <c r="Q96" s="506">
        <f>1-Q97</f>
        <v>0.86</v>
      </c>
      <c r="R96" s="506"/>
      <c r="S96" s="506"/>
      <c r="T96" s="506"/>
      <c r="U96" s="508"/>
    </row>
    <row r="97" spans="2:21">
      <c r="B97" s="547">
        <v>2026</v>
      </c>
      <c r="E97" s="506"/>
      <c r="F97" s="506"/>
      <c r="G97" s="506"/>
      <c r="H97" s="506"/>
      <c r="I97" s="506"/>
      <c r="J97" s="506"/>
      <c r="K97" s="506"/>
      <c r="L97" s="506"/>
      <c r="M97" s="506"/>
      <c r="N97" s="506"/>
      <c r="O97" s="506"/>
      <c r="P97" s="506"/>
      <c r="Q97" s="506">
        <v>0.14000000000000001</v>
      </c>
      <c r="R97" s="506">
        <f>1-R98</f>
        <v>0.86</v>
      </c>
      <c r="S97" s="506"/>
      <c r="T97" s="506"/>
      <c r="U97" s="508"/>
    </row>
    <row r="98" spans="2:21">
      <c r="B98" s="547">
        <v>2027</v>
      </c>
      <c r="E98" s="506"/>
      <c r="F98" s="506"/>
      <c r="G98" s="506"/>
      <c r="H98" s="506"/>
      <c r="I98" s="506"/>
      <c r="J98" s="506"/>
      <c r="K98" s="506"/>
      <c r="L98" s="506"/>
      <c r="M98" s="506"/>
      <c r="N98" s="506"/>
      <c r="O98" s="506"/>
      <c r="P98" s="506"/>
      <c r="Q98" s="506"/>
      <c r="R98" s="506">
        <v>0.14000000000000001</v>
      </c>
      <c r="S98" s="506">
        <f>1-S99</f>
        <v>0.86</v>
      </c>
      <c r="T98" s="506"/>
      <c r="U98" s="508"/>
    </row>
    <row r="99" spans="2:21">
      <c r="B99" s="547">
        <v>2028</v>
      </c>
      <c r="E99" s="506"/>
      <c r="F99" s="506"/>
      <c r="G99" s="506"/>
      <c r="H99" s="506"/>
      <c r="I99" s="506"/>
      <c r="J99" s="506"/>
      <c r="K99" s="506"/>
      <c r="L99" s="506"/>
      <c r="M99" s="506"/>
      <c r="N99" s="506"/>
      <c r="O99" s="506"/>
      <c r="P99" s="506"/>
      <c r="Q99" s="506"/>
      <c r="R99" s="506"/>
      <c r="S99" s="506">
        <v>0.14000000000000001</v>
      </c>
      <c r="T99" s="506">
        <f>1-T100</f>
        <v>0.86</v>
      </c>
      <c r="U99" s="508"/>
    </row>
    <row r="100" spans="2:21">
      <c r="B100" s="547">
        <v>2029</v>
      </c>
      <c r="E100" s="506"/>
      <c r="F100" s="506"/>
      <c r="G100" s="506"/>
      <c r="H100" s="506"/>
      <c r="I100" s="506"/>
      <c r="J100" s="506"/>
      <c r="K100" s="506"/>
      <c r="L100" s="506"/>
      <c r="M100" s="506"/>
      <c r="N100" s="506"/>
      <c r="O100" s="506"/>
      <c r="P100" s="506"/>
      <c r="Q100" s="506"/>
      <c r="R100" s="506"/>
      <c r="S100" s="506"/>
      <c r="T100" s="506">
        <v>0.14000000000000001</v>
      </c>
      <c r="U100" s="508"/>
    </row>
    <row r="101" spans="2:21">
      <c r="B101" s="71"/>
      <c r="C101" s="27"/>
      <c r="D101" s="26"/>
      <c r="E101" s="72"/>
      <c r="F101" s="72"/>
      <c r="G101" s="72"/>
      <c r="H101" s="72"/>
      <c r="I101" s="72"/>
      <c r="J101" s="72"/>
      <c r="K101" s="72"/>
      <c r="L101" s="72"/>
      <c r="M101" s="72"/>
      <c r="N101" s="72"/>
      <c r="O101" s="72"/>
      <c r="P101" s="72"/>
      <c r="Q101" s="72"/>
      <c r="R101" s="72"/>
      <c r="S101" s="72"/>
      <c r="T101" s="72"/>
    </row>
    <row r="102" spans="2:21">
      <c r="B102" s="46" t="s">
        <v>93</v>
      </c>
      <c r="E102" s="68"/>
      <c r="F102" s="68"/>
      <c r="G102" s="68"/>
      <c r="H102" s="68"/>
      <c r="I102" s="68"/>
      <c r="J102" s="68"/>
      <c r="K102" s="68"/>
      <c r="L102" s="68"/>
      <c r="M102" s="68"/>
      <c r="N102" s="68"/>
      <c r="O102" s="68"/>
      <c r="P102" s="68"/>
      <c r="Q102" s="68"/>
      <c r="R102" s="68"/>
      <c r="S102" s="68"/>
      <c r="T102" s="68"/>
    </row>
    <row r="103" spans="2:21">
      <c r="B103" s="62" t="s">
        <v>208</v>
      </c>
      <c r="E103" s="68"/>
      <c r="F103" s="68"/>
      <c r="G103" s="68"/>
      <c r="H103" s="68"/>
      <c r="I103" s="68"/>
      <c r="J103" s="68"/>
      <c r="K103" s="68"/>
      <c r="L103" s="68"/>
      <c r="M103" s="68"/>
      <c r="N103" s="68"/>
      <c r="O103" s="68"/>
      <c r="P103" s="68"/>
      <c r="Q103" s="68"/>
      <c r="R103" s="68"/>
      <c r="S103" s="68"/>
      <c r="T103" s="68"/>
    </row>
    <row r="104" spans="2:21">
      <c r="B104" s="547">
        <v>2013</v>
      </c>
      <c r="E104" s="506">
        <f>1-E105</f>
        <v>0.95040000000000002</v>
      </c>
      <c r="F104" s="506"/>
      <c r="G104" s="506"/>
      <c r="H104" s="506"/>
      <c r="I104" s="506"/>
      <c r="J104" s="506"/>
      <c r="K104" s="506"/>
      <c r="L104" s="506"/>
      <c r="M104" s="506"/>
      <c r="N104" s="506"/>
      <c r="O104" s="506"/>
      <c r="P104" s="506"/>
      <c r="Q104" s="506"/>
      <c r="R104" s="506"/>
      <c r="S104" s="506"/>
      <c r="T104" s="506"/>
    </row>
    <row r="105" spans="2:21">
      <c r="B105" s="547">
        <v>2014</v>
      </c>
      <c r="E105" s="506">
        <v>4.9599999999999998E-2</v>
      </c>
      <c r="F105" s="506">
        <f>1-F106</f>
        <v>0.89529999999999998</v>
      </c>
      <c r="G105" s="506"/>
      <c r="H105" s="506"/>
      <c r="I105" s="506"/>
      <c r="J105" s="506"/>
      <c r="K105" s="506"/>
      <c r="L105" s="506"/>
      <c r="M105" s="506"/>
      <c r="N105" s="506"/>
      <c r="O105" s="506"/>
      <c r="P105" s="506"/>
      <c r="Q105" s="506"/>
      <c r="R105" s="506"/>
      <c r="S105" s="506"/>
      <c r="T105" s="506"/>
    </row>
    <row r="106" spans="2:21">
      <c r="B106" s="547">
        <v>2015</v>
      </c>
      <c r="E106" s="506"/>
      <c r="F106" s="506">
        <v>0.1047</v>
      </c>
      <c r="G106" s="506">
        <f>1-G107</f>
        <v>0.9758</v>
      </c>
      <c r="H106" s="506"/>
      <c r="I106" s="506"/>
      <c r="J106" s="506"/>
      <c r="K106" s="506"/>
      <c r="L106" s="506"/>
      <c r="M106" s="506"/>
      <c r="N106" s="506"/>
      <c r="O106" s="506"/>
      <c r="P106" s="506"/>
      <c r="Q106" s="506"/>
      <c r="R106" s="506"/>
      <c r="S106" s="506"/>
      <c r="T106" s="506"/>
    </row>
    <row r="107" spans="2:21">
      <c r="B107" s="547">
        <v>2016</v>
      </c>
      <c r="E107" s="506"/>
      <c r="F107" s="506"/>
      <c r="G107" s="506">
        <v>2.4199999999999999E-2</v>
      </c>
      <c r="H107" s="506">
        <f>1-H108</f>
        <v>0.95530000000000004</v>
      </c>
      <c r="I107" s="506"/>
      <c r="J107" s="506"/>
      <c r="K107" s="506"/>
      <c r="L107" s="506"/>
      <c r="M107" s="506"/>
      <c r="N107" s="506"/>
      <c r="O107" s="506"/>
      <c r="P107" s="506"/>
      <c r="Q107" s="506"/>
      <c r="R107" s="506"/>
      <c r="S107" s="506"/>
      <c r="T107" s="506"/>
    </row>
    <row r="108" spans="2:21">
      <c r="B108" s="547">
        <v>2017</v>
      </c>
      <c r="E108" s="506"/>
      <c r="F108" s="506"/>
      <c r="G108" s="506"/>
      <c r="H108" s="506">
        <v>4.4699999999999997E-2</v>
      </c>
      <c r="I108" s="506">
        <f>1-I109</f>
        <v>0.96050000000000002</v>
      </c>
      <c r="J108" s="506"/>
      <c r="K108" s="506"/>
      <c r="L108" s="506"/>
      <c r="M108" s="506"/>
      <c r="N108" s="506"/>
      <c r="O108" s="506"/>
      <c r="P108" s="506"/>
      <c r="Q108" s="506"/>
      <c r="R108" s="506"/>
      <c r="S108" s="506"/>
      <c r="T108" s="506"/>
    </row>
    <row r="109" spans="2:21">
      <c r="B109" s="547">
        <v>2018</v>
      </c>
      <c r="E109" s="506"/>
      <c r="F109" s="506"/>
      <c r="G109" s="506"/>
      <c r="H109" s="506"/>
      <c r="I109" s="506">
        <v>3.95E-2</v>
      </c>
      <c r="J109" s="506">
        <f>1-J110</f>
        <v>0.9</v>
      </c>
      <c r="K109" s="506"/>
      <c r="L109" s="506"/>
      <c r="M109" s="506"/>
      <c r="N109" s="506"/>
      <c r="O109" s="506"/>
      <c r="P109" s="506"/>
      <c r="Q109" s="506"/>
      <c r="R109" s="506"/>
      <c r="S109" s="506"/>
      <c r="T109" s="506"/>
    </row>
    <row r="110" spans="2:21">
      <c r="B110" s="547">
        <v>2019</v>
      </c>
      <c r="E110" s="506"/>
      <c r="F110" s="506"/>
      <c r="G110" s="506"/>
      <c r="H110" s="506"/>
      <c r="I110" s="506"/>
      <c r="J110" s="506">
        <v>0.1</v>
      </c>
      <c r="K110" s="506">
        <v>0.94599999999999995</v>
      </c>
      <c r="L110" s="506"/>
      <c r="M110" s="506"/>
      <c r="N110" s="506"/>
      <c r="O110" s="506"/>
      <c r="P110" s="506"/>
      <c r="Q110" s="506"/>
      <c r="R110" s="506"/>
      <c r="S110" s="506"/>
      <c r="T110" s="506"/>
    </row>
    <row r="111" spans="2:21">
      <c r="B111" s="547">
        <v>2020</v>
      </c>
      <c r="E111" s="506"/>
      <c r="F111" s="506"/>
      <c r="G111" s="506"/>
      <c r="H111" s="506"/>
      <c r="I111" s="506"/>
      <c r="J111" s="506"/>
      <c r="K111" s="506">
        <v>5.3999999999999999E-2</v>
      </c>
      <c r="L111" s="506">
        <v>0.9</v>
      </c>
      <c r="M111" s="506"/>
      <c r="N111" s="506"/>
      <c r="O111" s="506"/>
      <c r="P111" s="506"/>
      <c r="Q111" s="506"/>
      <c r="R111" s="506"/>
      <c r="S111" s="506"/>
      <c r="T111" s="506"/>
    </row>
    <row r="112" spans="2:21">
      <c r="B112" s="547">
        <v>2021</v>
      </c>
      <c r="E112" s="506"/>
      <c r="F112" s="506"/>
      <c r="G112" s="506"/>
      <c r="H112" s="506"/>
      <c r="I112" s="506"/>
      <c r="J112" s="506"/>
      <c r="K112" s="506"/>
      <c r="L112" s="506">
        <v>0.1</v>
      </c>
      <c r="M112" s="506">
        <v>0.9</v>
      </c>
      <c r="N112" s="506"/>
      <c r="O112" s="506"/>
      <c r="P112" s="506"/>
      <c r="Q112" s="506"/>
      <c r="R112" s="506"/>
      <c r="S112" s="506"/>
      <c r="T112" s="506"/>
    </row>
    <row r="113" spans="2:20">
      <c r="B113" s="547">
        <v>2022</v>
      </c>
      <c r="E113" s="506"/>
      <c r="F113" s="506"/>
      <c r="G113" s="506"/>
      <c r="H113" s="506"/>
      <c r="I113" s="506"/>
      <c r="J113" s="506"/>
      <c r="K113" s="506"/>
      <c r="L113" s="506"/>
      <c r="M113" s="506">
        <v>0.1</v>
      </c>
      <c r="N113" s="506">
        <v>0.9</v>
      </c>
      <c r="O113" s="506"/>
      <c r="P113" s="506"/>
      <c r="Q113" s="506"/>
      <c r="R113" s="506"/>
      <c r="S113" s="506"/>
      <c r="T113" s="506"/>
    </row>
    <row r="114" spans="2:20">
      <c r="B114" s="547">
        <v>2023</v>
      </c>
      <c r="E114" s="506"/>
      <c r="F114" s="506"/>
      <c r="G114" s="506"/>
      <c r="H114" s="506"/>
      <c r="I114" s="506"/>
      <c r="J114" s="506"/>
      <c r="K114" s="506"/>
      <c r="L114" s="506"/>
      <c r="M114" s="506"/>
      <c r="N114" s="506">
        <v>0.1</v>
      </c>
      <c r="O114" s="506">
        <v>0.9</v>
      </c>
      <c r="P114" s="506"/>
      <c r="Q114" s="506"/>
      <c r="R114" s="506"/>
      <c r="S114" s="506"/>
      <c r="T114" s="506"/>
    </row>
    <row r="115" spans="2:20">
      <c r="B115" s="547">
        <v>2024</v>
      </c>
      <c r="E115" s="506"/>
      <c r="F115" s="506"/>
      <c r="G115" s="506"/>
      <c r="H115" s="506"/>
      <c r="I115" s="506"/>
      <c r="J115" s="506"/>
      <c r="K115" s="506"/>
      <c r="L115" s="506"/>
      <c r="M115" s="506"/>
      <c r="N115" s="506"/>
      <c r="O115" s="506">
        <v>0.1</v>
      </c>
      <c r="P115" s="506">
        <v>0.9</v>
      </c>
      <c r="Q115" s="506"/>
      <c r="R115" s="506"/>
      <c r="S115" s="506"/>
      <c r="T115" s="506"/>
    </row>
    <row r="116" spans="2:20">
      <c r="B116" s="547">
        <v>2025</v>
      </c>
      <c r="E116" s="506"/>
      <c r="F116" s="506"/>
      <c r="G116" s="506"/>
      <c r="H116" s="506"/>
      <c r="I116" s="506"/>
      <c r="J116" s="506"/>
      <c r="K116" s="506"/>
      <c r="L116" s="506"/>
      <c r="M116" s="506"/>
      <c r="N116" s="506"/>
      <c r="O116" s="506"/>
      <c r="P116" s="506">
        <v>0.1</v>
      </c>
      <c r="Q116" s="506">
        <v>0.9</v>
      </c>
      <c r="R116" s="506"/>
      <c r="S116" s="506"/>
      <c r="T116" s="506"/>
    </row>
    <row r="117" spans="2:20">
      <c r="B117" s="547">
        <v>2026</v>
      </c>
      <c r="E117" s="506"/>
      <c r="F117" s="506"/>
      <c r="G117" s="506"/>
      <c r="H117" s="506"/>
      <c r="I117" s="506"/>
      <c r="J117" s="506"/>
      <c r="K117" s="506"/>
      <c r="L117" s="506"/>
      <c r="M117" s="506"/>
      <c r="N117" s="506"/>
      <c r="O117" s="506"/>
      <c r="P117" s="506"/>
      <c r="Q117" s="506">
        <v>0.1</v>
      </c>
      <c r="R117" s="506">
        <v>0.9</v>
      </c>
      <c r="S117" s="506"/>
      <c r="T117" s="506"/>
    </row>
    <row r="118" spans="2:20">
      <c r="B118" s="547">
        <v>2027</v>
      </c>
      <c r="E118" s="506"/>
      <c r="F118" s="506"/>
      <c r="G118" s="506"/>
      <c r="H118" s="506"/>
      <c r="I118" s="506"/>
      <c r="J118" s="506"/>
      <c r="K118" s="506"/>
      <c r="L118" s="506"/>
      <c r="M118" s="506"/>
      <c r="N118" s="506"/>
      <c r="O118" s="506"/>
      <c r="P118" s="506"/>
      <c r="Q118" s="506"/>
      <c r="R118" s="506">
        <v>0.1</v>
      </c>
      <c r="S118" s="506">
        <v>0.9</v>
      </c>
      <c r="T118" s="506"/>
    </row>
    <row r="119" spans="2:20">
      <c r="B119" s="547">
        <v>2028</v>
      </c>
      <c r="E119" s="506"/>
      <c r="F119" s="506"/>
      <c r="G119" s="506"/>
      <c r="H119" s="506"/>
      <c r="I119" s="506"/>
      <c r="J119" s="506"/>
      <c r="K119" s="506"/>
      <c r="L119" s="506"/>
      <c r="M119" s="506"/>
      <c r="N119" s="506"/>
      <c r="O119" s="506"/>
      <c r="P119" s="506"/>
      <c r="Q119" s="506"/>
      <c r="R119" s="506"/>
      <c r="S119" s="506">
        <v>0.1</v>
      </c>
      <c r="T119" s="506">
        <v>0.9</v>
      </c>
    </row>
    <row r="120" spans="2:20">
      <c r="B120" s="547">
        <v>2029</v>
      </c>
      <c r="E120" s="506"/>
      <c r="F120" s="506"/>
      <c r="G120" s="506"/>
      <c r="H120" s="506"/>
      <c r="I120" s="506"/>
      <c r="J120" s="506"/>
      <c r="K120" s="506"/>
      <c r="L120" s="506"/>
      <c r="M120" s="506"/>
      <c r="N120" s="506"/>
      <c r="O120" s="506"/>
      <c r="P120" s="506"/>
      <c r="Q120" s="506"/>
      <c r="R120" s="506"/>
      <c r="S120" s="506"/>
      <c r="T120" s="506">
        <v>0.1</v>
      </c>
    </row>
    <row r="121" spans="2:20">
      <c r="B121" s="26"/>
      <c r="C121" s="71"/>
      <c r="D121" s="26"/>
      <c r="E121" s="72"/>
      <c r="F121" s="72"/>
      <c r="G121" s="72"/>
      <c r="H121" s="72"/>
      <c r="I121" s="72"/>
      <c r="J121" s="72"/>
      <c r="K121" s="72"/>
      <c r="L121" s="72"/>
      <c r="M121" s="72"/>
      <c r="N121" s="72"/>
      <c r="O121" s="72"/>
      <c r="P121" s="72"/>
      <c r="Q121" s="72"/>
      <c r="R121" s="72"/>
      <c r="S121" s="72"/>
      <c r="T121" s="72"/>
    </row>
    <row r="123" spans="2:20">
      <c r="B123" s="5" t="s">
        <v>209</v>
      </c>
    </row>
    <row r="124" spans="2:20">
      <c r="B124" s="5" t="s">
        <v>89</v>
      </c>
    </row>
    <row r="125" spans="2:20">
      <c r="B125" s="62" t="s">
        <v>208</v>
      </c>
    </row>
    <row r="126" spans="2:20">
      <c r="B126" s="547">
        <v>2013</v>
      </c>
      <c r="E126" s="69">
        <f>E$29*E44</f>
        <v>6634232</v>
      </c>
      <c r="F126" s="69"/>
      <c r="G126" s="69"/>
      <c r="H126" s="69"/>
      <c r="I126" s="69"/>
      <c r="J126" s="69"/>
      <c r="K126" s="69"/>
      <c r="L126" s="69"/>
      <c r="M126" s="69"/>
      <c r="N126" s="69"/>
      <c r="O126" s="69"/>
      <c r="P126" s="69"/>
      <c r="Q126" s="69"/>
      <c r="R126" s="69"/>
      <c r="S126" s="69"/>
      <c r="T126" s="69"/>
    </row>
    <row r="127" spans="2:20">
      <c r="B127" s="547">
        <v>2014</v>
      </c>
      <c r="E127" s="69"/>
      <c r="F127" s="69">
        <f>F$29*F45</f>
        <v>8970360.4666666668</v>
      </c>
      <c r="G127" s="69"/>
      <c r="H127" s="69"/>
      <c r="I127" s="69"/>
      <c r="J127" s="69"/>
      <c r="K127" s="69"/>
      <c r="L127" s="69"/>
      <c r="M127" s="69"/>
      <c r="N127" s="69"/>
      <c r="O127" s="69"/>
      <c r="P127" s="69"/>
      <c r="Q127" s="69"/>
      <c r="R127" s="69"/>
      <c r="S127" s="69"/>
      <c r="T127" s="69"/>
    </row>
    <row r="128" spans="2:20">
      <c r="B128" s="547">
        <v>2015</v>
      </c>
      <c r="E128" s="69"/>
      <c r="F128" s="69"/>
      <c r="G128" s="69">
        <f>G$29*G46</f>
        <v>10719863.766666668</v>
      </c>
      <c r="H128" s="69"/>
      <c r="I128" s="69"/>
      <c r="J128" s="69"/>
      <c r="K128" s="69"/>
      <c r="L128" s="69"/>
      <c r="M128" s="69"/>
      <c r="N128" s="69"/>
      <c r="O128" s="69"/>
      <c r="P128" s="69"/>
      <c r="Q128" s="69"/>
      <c r="R128" s="69"/>
      <c r="S128" s="69"/>
      <c r="T128" s="69"/>
    </row>
    <row r="129" spans="2:20">
      <c r="B129" s="547">
        <v>2016</v>
      </c>
      <c r="E129" s="69"/>
      <c r="F129" s="69"/>
      <c r="G129" s="69"/>
      <c r="H129" s="69">
        <f>H$29*H47</f>
        <v>9141198</v>
      </c>
      <c r="I129" s="69"/>
      <c r="J129" s="69"/>
      <c r="K129" s="69"/>
      <c r="L129" s="69"/>
      <c r="M129" s="69"/>
      <c r="N129" s="69"/>
      <c r="O129" s="69"/>
      <c r="P129" s="69"/>
      <c r="Q129" s="69"/>
      <c r="R129" s="69"/>
      <c r="S129" s="69"/>
      <c r="T129" s="69"/>
    </row>
    <row r="130" spans="2:20">
      <c r="B130" s="547">
        <v>2017</v>
      </c>
      <c r="E130" s="69"/>
      <c r="F130" s="69"/>
      <c r="G130" s="69"/>
      <c r="H130" s="69"/>
      <c r="I130" s="69">
        <f>I$29*I48</f>
        <v>12622458.271</v>
      </c>
      <c r="J130" s="69"/>
      <c r="K130" s="69"/>
      <c r="L130" s="69"/>
      <c r="M130" s="69"/>
      <c r="N130" s="69"/>
      <c r="O130" s="69"/>
      <c r="P130" s="69"/>
      <c r="Q130" s="69"/>
      <c r="R130" s="69"/>
      <c r="S130" s="69"/>
      <c r="T130" s="69"/>
    </row>
    <row r="131" spans="2:20">
      <c r="B131" s="547">
        <v>2018</v>
      </c>
      <c r="E131" s="69"/>
      <c r="F131" s="69"/>
      <c r="G131" s="69"/>
      <c r="H131" s="69"/>
      <c r="I131" s="69"/>
      <c r="J131" s="69">
        <f>J$29*J49</f>
        <v>14162734.750666667</v>
      </c>
      <c r="K131" s="69"/>
      <c r="L131" s="69"/>
      <c r="M131" s="69"/>
      <c r="N131" s="69"/>
      <c r="O131" s="69"/>
      <c r="P131" s="69"/>
      <c r="Q131" s="69"/>
      <c r="R131" s="69"/>
      <c r="S131" s="69"/>
      <c r="T131" s="69"/>
    </row>
    <row r="132" spans="2:20">
      <c r="B132" s="547">
        <v>2019</v>
      </c>
      <c r="E132" s="69"/>
      <c r="F132" s="69"/>
      <c r="G132" s="69"/>
      <c r="H132" s="69"/>
      <c r="I132" s="69"/>
      <c r="J132" s="69"/>
      <c r="K132" s="69">
        <f>K$29*K50</f>
        <v>15153045.68</v>
      </c>
      <c r="L132" s="69"/>
      <c r="M132" s="69"/>
      <c r="N132" s="69"/>
      <c r="O132" s="69"/>
      <c r="P132" s="69"/>
      <c r="Q132" s="69"/>
      <c r="R132" s="69"/>
      <c r="S132" s="69"/>
      <c r="T132" s="69"/>
    </row>
    <row r="133" spans="2:20">
      <c r="B133" s="547">
        <v>2020</v>
      </c>
      <c r="E133" s="69"/>
      <c r="F133" s="69"/>
      <c r="G133" s="69"/>
      <c r="H133" s="69"/>
      <c r="I133" s="69"/>
      <c r="J133" s="69"/>
      <c r="K133" s="69"/>
      <c r="L133" s="69">
        <f>L$29*L51</f>
        <v>15174365.800000001</v>
      </c>
      <c r="M133" s="69"/>
      <c r="N133" s="69"/>
      <c r="O133" s="69"/>
      <c r="P133" s="69"/>
      <c r="Q133" s="69"/>
      <c r="R133" s="69"/>
      <c r="S133" s="69"/>
      <c r="T133" s="69"/>
    </row>
    <row r="134" spans="2:20">
      <c r="B134" s="547">
        <v>2021</v>
      </c>
      <c r="E134" s="69"/>
      <c r="F134" s="69"/>
      <c r="G134" s="69"/>
      <c r="H134" s="69"/>
      <c r="I134" s="69"/>
      <c r="J134" s="69"/>
      <c r="K134" s="69"/>
      <c r="L134" s="69"/>
      <c r="M134" s="69">
        <f>M$29*M52</f>
        <v>15239235.757499998</v>
      </c>
      <c r="N134" s="69"/>
      <c r="O134" s="69"/>
      <c r="P134" s="69"/>
      <c r="Q134" s="69"/>
      <c r="R134" s="69"/>
      <c r="S134" s="69"/>
      <c r="T134" s="69"/>
    </row>
    <row r="135" spans="2:20">
      <c r="B135" s="547">
        <v>2022</v>
      </c>
      <c r="E135" s="69"/>
      <c r="F135" s="69"/>
      <c r="G135" s="69"/>
      <c r="H135" s="69"/>
      <c r="I135" s="69"/>
      <c r="J135" s="69"/>
      <c r="K135" s="69"/>
      <c r="L135" s="69"/>
      <c r="M135" s="69"/>
      <c r="N135" s="69">
        <f>N$29*N53</f>
        <v>21113116</v>
      </c>
      <c r="O135" s="69"/>
      <c r="P135" s="69"/>
      <c r="Q135" s="69"/>
      <c r="R135" s="69"/>
      <c r="S135" s="69"/>
      <c r="T135" s="69"/>
    </row>
    <row r="136" spans="2:20">
      <c r="B136" s="547">
        <v>2023</v>
      </c>
      <c r="E136" s="69"/>
      <c r="F136" s="69"/>
      <c r="G136" s="69"/>
      <c r="H136" s="69"/>
      <c r="I136" s="69"/>
      <c r="J136" s="69"/>
      <c r="K136" s="69"/>
      <c r="L136" s="69"/>
      <c r="M136" s="69"/>
      <c r="N136" s="69"/>
      <c r="O136" s="69">
        <f>O$29*O54</f>
        <v>0</v>
      </c>
      <c r="P136" s="69"/>
      <c r="Q136" s="69"/>
      <c r="R136" s="69"/>
      <c r="S136" s="69"/>
      <c r="T136" s="69"/>
    </row>
    <row r="137" spans="2:20">
      <c r="B137" s="547">
        <v>2024</v>
      </c>
      <c r="E137" s="69"/>
      <c r="F137" s="69"/>
      <c r="G137" s="69"/>
      <c r="H137" s="69"/>
      <c r="I137" s="69"/>
      <c r="J137" s="69"/>
      <c r="K137" s="69"/>
      <c r="L137" s="69"/>
      <c r="M137" s="69"/>
      <c r="N137" s="69"/>
      <c r="O137" s="69"/>
      <c r="P137" s="69">
        <f>P$29*P55</f>
        <v>0</v>
      </c>
      <c r="Q137" s="69"/>
      <c r="R137" s="69"/>
      <c r="S137" s="69"/>
      <c r="T137" s="69"/>
    </row>
    <row r="138" spans="2:20">
      <c r="B138" s="547">
        <v>2025</v>
      </c>
      <c r="E138" s="69"/>
      <c r="F138" s="69"/>
      <c r="G138" s="69"/>
      <c r="H138" s="69"/>
      <c r="I138" s="69"/>
      <c r="J138" s="69"/>
      <c r="K138" s="69"/>
      <c r="L138" s="69"/>
      <c r="M138" s="69"/>
      <c r="N138" s="69"/>
      <c r="O138" s="69"/>
      <c r="P138" s="69"/>
      <c r="Q138" s="69">
        <f>Q$29*Q56</f>
        <v>0</v>
      </c>
      <c r="R138" s="69"/>
      <c r="S138" s="69"/>
      <c r="T138" s="69"/>
    </row>
    <row r="139" spans="2:20">
      <c r="B139" s="547">
        <v>2026</v>
      </c>
      <c r="E139" s="69"/>
      <c r="F139" s="69"/>
      <c r="G139" s="69"/>
      <c r="H139" s="69"/>
      <c r="I139" s="69"/>
      <c r="J139" s="69"/>
      <c r="K139" s="69"/>
      <c r="L139" s="69"/>
      <c r="M139" s="69"/>
      <c r="N139" s="69"/>
      <c r="O139" s="69"/>
      <c r="P139" s="69"/>
      <c r="Q139" s="69"/>
      <c r="R139" s="69">
        <f>R$29*R57</f>
        <v>0</v>
      </c>
      <c r="S139" s="69"/>
      <c r="T139" s="69"/>
    </row>
    <row r="140" spans="2:20">
      <c r="B140" s="547">
        <v>2027</v>
      </c>
      <c r="E140" s="69"/>
      <c r="F140" s="69"/>
      <c r="G140" s="69"/>
      <c r="H140" s="69"/>
      <c r="I140" s="69"/>
      <c r="J140" s="69"/>
      <c r="K140" s="69"/>
      <c r="L140" s="69"/>
      <c r="M140" s="69"/>
      <c r="N140" s="69"/>
      <c r="O140" s="69"/>
      <c r="P140" s="69"/>
      <c r="Q140" s="69"/>
      <c r="R140" s="69"/>
      <c r="S140" s="69">
        <f>S$29*S58</f>
        <v>0</v>
      </c>
      <c r="T140" s="69"/>
    </row>
    <row r="141" spans="2:20">
      <c r="B141" s="547">
        <v>2028</v>
      </c>
      <c r="E141" s="69"/>
      <c r="F141" s="69"/>
      <c r="G141" s="69"/>
      <c r="H141" s="69"/>
      <c r="I141" s="69"/>
      <c r="J141" s="69"/>
      <c r="K141" s="69"/>
      <c r="L141" s="69"/>
      <c r="M141" s="69"/>
      <c r="N141" s="69"/>
      <c r="O141" s="69"/>
      <c r="P141" s="69"/>
      <c r="Q141" s="69"/>
      <c r="R141" s="69"/>
      <c r="S141" s="69"/>
      <c r="T141" s="69">
        <f>T$29*T59</f>
        <v>0</v>
      </c>
    </row>
    <row r="142" spans="2:20">
      <c r="B142" s="547">
        <v>2029</v>
      </c>
      <c r="E142" s="69"/>
      <c r="F142" s="69"/>
      <c r="G142" s="69"/>
      <c r="H142" s="69"/>
      <c r="I142" s="69"/>
      <c r="J142" s="69"/>
      <c r="K142" s="69"/>
      <c r="L142" s="69"/>
      <c r="M142" s="69"/>
      <c r="N142" s="69"/>
      <c r="O142" s="69"/>
      <c r="P142" s="69"/>
      <c r="Q142" s="69"/>
      <c r="R142" s="69"/>
      <c r="S142" s="69"/>
      <c r="T142" s="69"/>
    </row>
    <row r="143" spans="2:20">
      <c r="B143" s="71"/>
      <c r="C143" s="27"/>
      <c r="D143" s="26"/>
      <c r="E143" s="26"/>
      <c r="F143" s="26"/>
      <c r="G143" s="26"/>
      <c r="H143" s="26"/>
      <c r="I143" s="26"/>
      <c r="J143" s="26"/>
      <c r="K143" s="26"/>
      <c r="L143" s="26"/>
      <c r="M143" s="26"/>
      <c r="N143" s="26"/>
      <c r="O143" s="26"/>
      <c r="P143" s="26"/>
      <c r="Q143" s="26"/>
      <c r="R143" s="26"/>
      <c r="S143" s="26"/>
      <c r="T143" s="26"/>
    </row>
    <row r="144" spans="2:20">
      <c r="B144" s="46" t="s">
        <v>114</v>
      </c>
    </row>
    <row r="145" spans="2:20">
      <c r="B145" s="62" t="s">
        <v>208</v>
      </c>
    </row>
    <row r="146" spans="2:20">
      <c r="B146" s="547">
        <v>2013</v>
      </c>
      <c r="E146" s="69">
        <f>E30*E64</f>
        <v>4389456.7436066661</v>
      </c>
      <c r="F146" s="69"/>
      <c r="G146" s="69"/>
      <c r="H146" s="69"/>
      <c r="I146" s="69"/>
      <c r="J146" s="69"/>
      <c r="K146" s="69"/>
      <c r="L146" s="69"/>
      <c r="M146" s="69"/>
      <c r="N146" s="69"/>
      <c r="O146" s="69"/>
      <c r="P146" s="69"/>
      <c r="Q146" s="69"/>
      <c r="R146" s="69"/>
      <c r="S146" s="69"/>
      <c r="T146" s="69"/>
    </row>
    <row r="147" spans="2:20">
      <c r="B147" s="547">
        <v>2014</v>
      </c>
      <c r="E147" s="69">
        <f>E30*E65</f>
        <v>3296511.9897266668</v>
      </c>
      <c r="F147" s="69">
        <f>F30*F65</f>
        <v>6635412.6631000014</v>
      </c>
      <c r="G147" s="272"/>
      <c r="H147" s="272"/>
      <c r="I147" s="272"/>
      <c r="J147" s="272"/>
      <c r="K147" s="69"/>
      <c r="L147" s="69"/>
      <c r="M147" s="69"/>
      <c r="N147" s="69"/>
      <c r="O147" s="69"/>
      <c r="P147" s="69"/>
      <c r="Q147" s="69"/>
      <c r="R147" s="69"/>
      <c r="S147" s="69"/>
      <c r="T147" s="69"/>
    </row>
    <row r="148" spans="2:20">
      <c r="B148" s="547">
        <v>2015</v>
      </c>
      <c r="E148" s="272"/>
      <c r="F148" s="69">
        <f>F30*F66</f>
        <v>4162655.1369000003</v>
      </c>
      <c r="G148" s="69">
        <f>G30*G66</f>
        <v>6114522.7436666675</v>
      </c>
      <c r="H148" s="272"/>
      <c r="I148" s="272"/>
      <c r="J148" s="272"/>
      <c r="K148" s="69"/>
      <c r="L148" s="69"/>
      <c r="M148" s="69"/>
      <c r="N148" s="69"/>
      <c r="O148" s="69"/>
      <c r="P148" s="69"/>
      <c r="Q148" s="69"/>
      <c r="R148" s="69"/>
      <c r="S148" s="69"/>
      <c r="T148" s="69"/>
    </row>
    <row r="149" spans="2:20">
      <c r="B149" s="547">
        <v>2016</v>
      </c>
      <c r="E149" s="272"/>
      <c r="F149" s="272"/>
      <c r="G149" s="69">
        <f>G30*G67</f>
        <v>4034062.7230000002</v>
      </c>
      <c r="H149" s="69">
        <f>H30*H67</f>
        <v>5657910.093493334</v>
      </c>
      <c r="I149" s="272"/>
      <c r="J149" s="272"/>
      <c r="K149" s="69"/>
      <c r="L149" s="69"/>
      <c r="M149" s="69"/>
      <c r="N149" s="69"/>
      <c r="O149" s="69"/>
      <c r="P149" s="69"/>
      <c r="Q149" s="69"/>
      <c r="R149" s="69"/>
      <c r="S149" s="69"/>
      <c r="T149" s="69"/>
    </row>
    <row r="150" spans="2:20">
      <c r="B150" s="547">
        <v>2017</v>
      </c>
      <c r="E150" s="272"/>
      <c r="F150" s="272"/>
      <c r="G150" s="272"/>
      <c r="H150" s="69">
        <f>H30*H68</f>
        <v>2302008.4398400001</v>
      </c>
      <c r="I150" s="69">
        <f>I30*I68</f>
        <v>6811184.3060066672</v>
      </c>
      <c r="J150" s="272"/>
      <c r="K150" s="69"/>
      <c r="L150" s="69"/>
      <c r="M150" s="69"/>
      <c r="N150" s="69"/>
      <c r="O150" s="69"/>
      <c r="P150" s="69"/>
      <c r="Q150" s="69"/>
      <c r="R150" s="69"/>
      <c r="S150" s="69"/>
      <c r="T150" s="69"/>
    </row>
    <row r="151" spans="2:20">
      <c r="B151" s="547">
        <v>2018</v>
      </c>
      <c r="E151" s="272"/>
      <c r="F151" s="272"/>
      <c r="G151" s="272"/>
      <c r="H151" s="272"/>
      <c r="I151" s="69">
        <f>I30*I69</f>
        <v>3732444.6506599998</v>
      </c>
      <c r="J151" s="69">
        <f>J30*J69</f>
        <v>7478244.8120639985</v>
      </c>
      <c r="K151" s="69"/>
      <c r="L151" s="69"/>
      <c r="M151" s="69"/>
      <c r="N151" s="69"/>
      <c r="O151" s="69"/>
      <c r="P151" s="69"/>
      <c r="Q151" s="69"/>
      <c r="R151" s="69"/>
      <c r="S151" s="69"/>
      <c r="T151" s="69"/>
    </row>
    <row r="152" spans="2:20">
      <c r="B152" s="547">
        <v>2019</v>
      </c>
      <c r="E152" s="272"/>
      <c r="F152" s="272"/>
      <c r="G152" s="272"/>
      <c r="H152" s="272"/>
      <c r="I152" s="272"/>
      <c r="J152" s="69">
        <f>J30*J70</f>
        <v>3991455.8199359989</v>
      </c>
      <c r="K152" s="69">
        <f>K30*K70</f>
        <v>8065780.6529999999</v>
      </c>
      <c r="L152" s="69"/>
      <c r="M152" s="69"/>
      <c r="N152" s="69"/>
      <c r="O152" s="69"/>
      <c r="P152" s="69"/>
      <c r="Q152" s="69"/>
      <c r="R152" s="69"/>
      <c r="S152" s="69"/>
      <c r="T152" s="69"/>
    </row>
    <row r="153" spans="2:20">
      <c r="B153" s="547">
        <v>2020</v>
      </c>
      <c r="E153" s="69"/>
      <c r="F153" s="69"/>
      <c r="G153" s="69"/>
      <c r="H153" s="69"/>
      <c r="I153" s="69"/>
      <c r="J153" s="69"/>
      <c r="K153" s="69">
        <f>K30*K71</f>
        <v>5581902.3470000001</v>
      </c>
      <c r="L153" s="69">
        <f>L30*L71</f>
        <v>8868664.6383999996</v>
      </c>
      <c r="M153" s="69"/>
      <c r="N153" s="69"/>
      <c r="O153" s="69"/>
      <c r="P153" s="69"/>
      <c r="Q153" s="69"/>
      <c r="R153" s="69"/>
      <c r="S153" s="69"/>
      <c r="T153" s="69"/>
    </row>
    <row r="154" spans="2:20">
      <c r="B154" s="547">
        <v>2021</v>
      </c>
      <c r="E154" s="69"/>
      <c r="F154" s="69"/>
      <c r="G154" s="69"/>
      <c r="H154" s="69"/>
      <c r="I154" s="69"/>
      <c r="J154" s="69"/>
      <c r="K154" s="69"/>
      <c r="L154" s="69">
        <f>L30*L72</f>
        <v>5814554.9616</v>
      </c>
      <c r="M154" s="69">
        <f>M30*M72</f>
        <v>8103849.8043999989</v>
      </c>
      <c r="N154" s="69"/>
      <c r="O154" s="69"/>
      <c r="P154" s="69"/>
      <c r="Q154" s="69"/>
      <c r="R154" s="69"/>
      <c r="S154" s="69"/>
      <c r="T154" s="69"/>
    </row>
    <row r="155" spans="2:20">
      <c r="B155" s="547">
        <v>2022</v>
      </c>
      <c r="E155" s="69"/>
      <c r="F155" s="69"/>
      <c r="G155" s="69"/>
      <c r="H155" s="69"/>
      <c r="I155" s="69"/>
      <c r="J155" s="69"/>
      <c r="K155" s="69"/>
      <c r="L155" s="69"/>
      <c r="M155" s="69">
        <f>M30*M73</f>
        <v>5402566.5362666659</v>
      </c>
      <c r="N155" s="69">
        <f>N30*N73</f>
        <v>12927882.039999999</v>
      </c>
      <c r="O155" s="69"/>
      <c r="P155" s="69"/>
      <c r="Q155" s="69"/>
      <c r="R155" s="69"/>
      <c r="S155" s="69"/>
      <c r="T155" s="69"/>
    </row>
    <row r="156" spans="2:20">
      <c r="B156" s="547">
        <v>2023</v>
      </c>
      <c r="E156" s="69"/>
      <c r="F156" s="69"/>
      <c r="G156" s="69"/>
      <c r="H156" s="69"/>
      <c r="I156" s="69"/>
      <c r="J156" s="69"/>
      <c r="K156" s="69"/>
      <c r="L156" s="69"/>
      <c r="M156" s="69"/>
      <c r="N156" s="69">
        <f>N30*N74</f>
        <v>8618588.0266666673</v>
      </c>
      <c r="O156" s="69" t="e">
        <f>O30*O74</f>
        <v>#DIV/0!</v>
      </c>
      <c r="P156" s="69"/>
      <c r="Q156" s="69"/>
      <c r="R156" s="69"/>
      <c r="S156" s="69"/>
      <c r="T156" s="69"/>
    </row>
    <row r="157" spans="2:20">
      <c r="B157" s="547">
        <v>2024</v>
      </c>
      <c r="E157" s="69"/>
      <c r="F157" s="69"/>
      <c r="G157" s="69"/>
      <c r="H157" s="69"/>
      <c r="I157" s="69"/>
      <c r="J157" s="69"/>
      <c r="K157" s="69"/>
      <c r="L157" s="69"/>
      <c r="M157" s="69"/>
      <c r="N157" s="69"/>
      <c r="O157" s="69" t="e">
        <f>O30*O75</f>
        <v>#DIV/0!</v>
      </c>
      <c r="P157" s="69" t="e">
        <f>P30*P75</f>
        <v>#DIV/0!</v>
      </c>
      <c r="Q157" s="69"/>
      <c r="R157" s="69"/>
      <c r="S157" s="69"/>
      <c r="T157" s="69"/>
    </row>
    <row r="158" spans="2:20">
      <c r="B158" s="547">
        <v>2025</v>
      </c>
      <c r="E158" s="69"/>
      <c r="F158" s="69"/>
      <c r="G158" s="69"/>
      <c r="H158" s="69"/>
      <c r="I158" s="69"/>
      <c r="J158" s="69"/>
      <c r="K158" s="69"/>
      <c r="L158" s="69"/>
      <c r="M158" s="69"/>
      <c r="N158" s="69"/>
      <c r="O158" s="69"/>
      <c r="P158" s="69" t="e">
        <f>P30*P76</f>
        <v>#DIV/0!</v>
      </c>
      <c r="Q158" s="69" t="e">
        <f>Q30*Q76</f>
        <v>#DIV/0!</v>
      </c>
      <c r="R158" s="69"/>
      <c r="S158" s="69"/>
      <c r="T158" s="69"/>
    </row>
    <row r="159" spans="2:20">
      <c r="B159" s="547">
        <v>2026</v>
      </c>
      <c r="E159" s="69"/>
      <c r="F159" s="69"/>
      <c r="G159" s="69"/>
      <c r="H159" s="69"/>
      <c r="I159" s="69"/>
      <c r="J159" s="69"/>
      <c r="K159" s="69"/>
      <c r="L159" s="69"/>
      <c r="M159" s="69"/>
      <c r="N159" s="69"/>
      <c r="O159" s="69"/>
      <c r="P159" s="69"/>
      <c r="Q159" s="69" t="e">
        <f>Q30*Q77</f>
        <v>#DIV/0!</v>
      </c>
      <c r="R159" s="69" t="e">
        <f>R30*R77</f>
        <v>#DIV/0!</v>
      </c>
      <c r="S159" s="69"/>
      <c r="T159" s="69"/>
    </row>
    <row r="160" spans="2:20">
      <c r="B160" s="547">
        <v>2027</v>
      </c>
      <c r="E160" s="69"/>
      <c r="F160" s="69"/>
      <c r="G160" s="69"/>
      <c r="H160" s="69"/>
      <c r="I160" s="69"/>
      <c r="J160" s="69"/>
      <c r="K160" s="69"/>
      <c r="L160" s="69"/>
      <c r="M160" s="69"/>
      <c r="N160" s="69"/>
      <c r="O160" s="69"/>
      <c r="P160" s="69"/>
      <c r="Q160" s="69"/>
      <c r="R160" s="69" t="e">
        <f>R30*R78</f>
        <v>#DIV/0!</v>
      </c>
      <c r="S160" s="69" t="e">
        <f>S30*S78</f>
        <v>#DIV/0!</v>
      </c>
      <c r="T160" s="69"/>
    </row>
    <row r="161" spans="2:20">
      <c r="B161" s="547">
        <v>2028</v>
      </c>
      <c r="E161" s="69"/>
      <c r="F161" s="69"/>
      <c r="G161" s="69"/>
      <c r="H161" s="69"/>
      <c r="I161" s="69"/>
      <c r="J161" s="69"/>
      <c r="K161" s="69"/>
      <c r="L161" s="69"/>
      <c r="M161" s="69"/>
      <c r="N161" s="69"/>
      <c r="O161" s="69"/>
      <c r="P161" s="69"/>
      <c r="Q161" s="69"/>
      <c r="R161" s="69"/>
      <c r="S161" s="69" t="e">
        <f>S30*S79</f>
        <v>#DIV/0!</v>
      </c>
      <c r="T161" s="69" t="e">
        <f>T30*T79</f>
        <v>#DIV/0!</v>
      </c>
    </row>
    <row r="162" spans="2:20">
      <c r="B162" s="547">
        <v>2029</v>
      </c>
      <c r="E162" s="69"/>
      <c r="F162" s="69"/>
      <c r="G162" s="69"/>
      <c r="H162" s="69"/>
      <c r="I162" s="69"/>
      <c r="J162" s="69"/>
      <c r="K162" s="69"/>
      <c r="L162" s="69"/>
      <c r="M162" s="69"/>
      <c r="N162" s="69"/>
      <c r="O162" s="69"/>
      <c r="P162" s="69"/>
      <c r="Q162" s="69"/>
      <c r="R162" s="69"/>
      <c r="S162" s="69"/>
      <c r="T162" s="69" t="e">
        <f>T30*T80</f>
        <v>#DIV/0!</v>
      </c>
    </row>
    <row r="163" spans="2:20">
      <c r="B163" s="71"/>
      <c r="C163" s="27"/>
      <c r="D163" s="26"/>
      <c r="E163" s="26"/>
      <c r="F163" s="26"/>
      <c r="G163" s="26"/>
      <c r="H163" s="26"/>
      <c r="I163" s="26"/>
      <c r="J163" s="26"/>
      <c r="K163" s="26"/>
      <c r="L163" s="26"/>
      <c r="M163" s="26"/>
      <c r="N163" s="26"/>
      <c r="O163" s="26"/>
      <c r="P163" s="26"/>
      <c r="Q163" s="26"/>
      <c r="R163" s="26"/>
      <c r="S163" s="26"/>
      <c r="T163" s="73"/>
    </row>
    <row r="164" spans="2:20">
      <c r="B164" s="46" t="s">
        <v>118</v>
      </c>
    </row>
    <row r="165" spans="2:20">
      <c r="B165" s="62" t="s">
        <v>208</v>
      </c>
    </row>
    <row r="166" spans="2:20">
      <c r="B166" s="547">
        <v>2013</v>
      </c>
      <c r="E166" s="69">
        <f>E$31*E84</f>
        <v>131635.07739199998</v>
      </c>
      <c r="F166" s="69"/>
      <c r="G166" s="69"/>
      <c r="H166" s="69"/>
      <c r="I166" s="69"/>
      <c r="J166" s="69"/>
      <c r="K166" s="69"/>
      <c r="L166" s="69"/>
      <c r="M166" s="69"/>
      <c r="N166" s="69"/>
      <c r="O166" s="69"/>
      <c r="P166" s="69"/>
      <c r="Q166" s="69"/>
      <c r="R166" s="69"/>
      <c r="S166" s="69"/>
      <c r="T166" s="69"/>
    </row>
    <row r="167" spans="2:20">
      <c r="B167" s="547">
        <v>2014</v>
      </c>
      <c r="E167" s="272">
        <f>E$31*E85</f>
        <v>19687.002607999999</v>
      </c>
      <c r="F167" s="272">
        <f>F$31*F85</f>
        <v>171691.72625280003</v>
      </c>
      <c r="G167" s="272"/>
      <c r="H167" s="272"/>
      <c r="I167" s="272"/>
      <c r="J167" s="272"/>
      <c r="K167" s="69"/>
      <c r="L167" s="69"/>
      <c r="M167" s="69"/>
      <c r="N167" s="69"/>
      <c r="O167" s="69"/>
      <c r="P167" s="69"/>
      <c r="Q167" s="69"/>
      <c r="R167" s="69"/>
      <c r="S167" s="69"/>
      <c r="T167" s="69"/>
    </row>
    <row r="168" spans="2:20">
      <c r="B168" s="547">
        <v>2015</v>
      </c>
      <c r="E168" s="272"/>
      <c r="F168" s="272">
        <f>F$31*F86</f>
        <v>36621.457747200002</v>
      </c>
      <c r="G168" s="272">
        <f>G$31*G86</f>
        <v>151132.99956</v>
      </c>
      <c r="H168" s="272"/>
      <c r="I168" s="272"/>
      <c r="J168" s="272"/>
      <c r="K168" s="69"/>
      <c r="L168" s="69"/>
      <c r="M168" s="69"/>
      <c r="N168" s="69"/>
      <c r="O168" s="69"/>
      <c r="P168" s="69"/>
      <c r="Q168" s="69"/>
      <c r="R168" s="69"/>
      <c r="S168" s="69"/>
      <c r="T168" s="69"/>
    </row>
    <row r="169" spans="2:20">
      <c r="B169" s="547">
        <v>2016</v>
      </c>
      <c r="E169" s="272"/>
      <c r="F169" s="272"/>
      <c r="G169" s="272">
        <f>G$31*G87</f>
        <v>24603.046440000002</v>
      </c>
      <c r="H169" s="272">
        <f>H$31*H87</f>
        <v>149818.43227220001</v>
      </c>
      <c r="I169" s="272"/>
      <c r="J169" s="272"/>
      <c r="K169" s="69"/>
      <c r="L169" s="69"/>
      <c r="M169" s="69"/>
      <c r="N169" s="69"/>
      <c r="O169" s="69"/>
      <c r="P169" s="69"/>
      <c r="Q169" s="69"/>
      <c r="R169" s="69"/>
      <c r="S169" s="69"/>
      <c r="T169" s="69"/>
    </row>
    <row r="170" spans="2:20">
      <c r="B170" s="547">
        <v>2017</v>
      </c>
      <c r="E170" s="272"/>
      <c r="F170" s="272"/>
      <c r="G170" s="272"/>
      <c r="H170" s="272">
        <f>H$31*H88</f>
        <v>7010.2417277999994</v>
      </c>
      <c r="I170" s="272">
        <f>I$31*I88</f>
        <v>169463.4394798</v>
      </c>
      <c r="J170" s="272"/>
      <c r="K170" s="69"/>
      <c r="L170" s="69"/>
      <c r="M170" s="69"/>
      <c r="N170" s="69"/>
      <c r="O170" s="69"/>
      <c r="P170" s="69"/>
      <c r="Q170" s="69"/>
      <c r="R170" s="69"/>
      <c r="S170" s="69"/>
      <c r="T170" s="69"/>
    </row>
    <row r="171" spans="2:20">
      <c r="B171" s="547">
        <v>2018</v>
      </c>
      <c r="E171" s="272"/>
      <c r="F171" s="272"/>
      <c r="G171" s="272"/>
      <c r="H171" s="272"/>
      <c r="I171" s="272">
        <f>I$31*I89</f>
        <v>32086.797770200003</v>
      </c>
      <c r="J171" s="272">
        <f>J$31*J89</f>
        <v>183381.89184540001</v>
      </c>
      <c r="K171" s="69"/>
      <c r="L171" s="69"/>
      <c r="M171" s="69"/>
      <c r="N171" s="69"/>
      <c r="O171" s="69"/>
      <c r="P171" s="69"/>
      <c r="Q171" s="69"/>
      <c r="R171" s="69"/>
      <c r="S171" s="69"/>
      <c r="T171" s="69"/>
    </row>
    <row r="172" spans="2:20">
      <c r="B172" s="547">
        <v>2019</v>
      </c>
      <c r="E172" s="272"/>
      <c r="F172" s="272"/>
      <c r="G172" s="272"/>
      <c r="H172" s="272"/>
      <c r="I172" s="272"/>
      <c r="J172" s="272">
        <f>J$31*J90</f>
        <v>40254.561624599999</v>
      </c>
      <c r="K172" s="69">
        <f>K$31*K90</f>
        <v>203251.29198000001</v>
      </c>
      <c r="L172" s="69"/>
      <c r="M172" s="69"/>
      <c r="N172" s="69"/>
      <c r="O172" s="69"/>
      <c r="P172" s="69"/>
      <c r="Q172" s="69"/>
      <c r="R172" s="69"/>
      <c r="S172" s="69"/>
      <c r="T172" s="69"/>
    </row>
    <row r="173" spans="2:20">
      <c r="B173" s="547">
        <v>2020</v>
      </c>
      <c r="E173" s="69"/>
      <c r="F173" s="69"/>
      <c r="G173" s="69"/>
      <c r="H173" s="69"/>
      <c r="I173" s="69"/>
      <c r="J173" s="69"/>
      <c r="K173" s="69">
        <f>K$31*K91</f>
        <v>55338.138019999999</v>
      </c>
      <c r="L173" s="69">
        <f>L$31*L91</f>
        <v>234676.67099999997</v>
      </c>
      <c r="M173" s="69"/>
      <c r="N173" s="69"/>
      <c r="O173" s="69"/>
      <c r="P173" s="69"/>
      <c r="Q173" s="69"/>
      <c r="R173" s="69"/>
      <c r="S173" s="69"/>
      <c r="T173" s="69"/>
    </row>
    <row r="174" spans="2:20">
      <c r="B174" s="547">
        <v>2021</v>
      </c>
      <c r="E174" s="69"/>
      <c r="F174" s="69"/>
      <c r="G174" s="69"/>
      <c r="H174" s="69"/>
      <c r="I174" s="69"/>
      <c r="J174" s="69"/>
      <c r="K174" s="69"/>
      <c r="L174" s="69">
        <f>L$31*L92</f>
        <v>38203.179000000004</v>
      </c>
      <c r="M174" s="69">
        <f>M$31*M92</f>
        <v>217928.60072479997</v>
      </c>
      <c r="N174" s="69">
        <f>N$31*N92</f>
        <v>0</v>
      </c>
      <c r="O174" s="69"/>
      <c r="P174" s="69"/>
      <c r="Q174" s="69"/>
      <c r="R174" s="69"/>
      <c r="S174" s="69"/>
      <c r="T174" s="69"/>
    </row>
    <row r="175" spans="2:20">
      <c r="B175" s="547">
        <v>2022</v>
      </c>
      <c r="E175" s="69"/>
      <c r="F175" s="69"/>
      <c r="G175" s="69"/>
      <c r="H175" s="69"/>
      <c r="I175" s="69"/>
      <c r="J175" s="69"/>
      <c r="K175" s="69"/>
      <c r="L175" s="69"/>
      <c r="M175" s="69">
        <f>M$31*M93</f>
        <v>35476.748955199997</v>
      </c>
      <c r="N175" s="69">
        <f>N$31*N93</f>
        <v>347899.53154</v>
      </c>
      <c r="O175" s="69">
        <f>O$31*O93</f>
        <v>0</v>
      </c>
      <c r="P175" s="69"/>
      <c r="Q175" s="69"/>
      <c r="R175" s="69"/>
      <c r="S175" s="69"/>
      <c r="T175" s="69"/>
    </row>
    <row r="176" spans="2:20">
      <c r="B176" s="547">
        <v>2023</v>
      </c>
      <c r="E176" s="69"/>
      <c r="F176" s="69"/>
      <c r="G176" s="69"/>
      <c r="H176" s="69"/>
      <c r="I176" s="69"/>
      <c r="J176" s="69"/>
      <c r="K176" s="69"/>
      <c r="L176" s="69"/>
      <c r="M176" s="69"/>
      <c r="N176" s="69">
        <f>N$31*N94</f>
        <v>56634.807460000004</v>
      </c>
      <c r="O176" s="69">
        <f>O$31*O94</f>
        <v>0</v>
      </c>
      <c r="P176" s="69"/>
      <c r="Q176" s="69"/>
      <c r="R176" s="69"/>
      <c r="S176" s="69"/>
      <c r="T176" s="69"/>
    </row>
    <row r="177" spans="2:20">
      <c r="B177" s="547">
        <v>2024</v>
      </c>
      <c r="E177" s="69"/>
      <c r="F177" s="69"/>
      <c r="G177" s="69"/>
      <c r="H177" s="69"/>
      <c r="I177" s="69"/>
      <c r="J177" s="69"/>
      <c r="K177" s="69"/>
      <c r="L177" s="69"/>
      <c r="M177" s="69"/>
      <c r="N177" s="69"/>
      <c r="O177" s="69">
        <f>O$31*O95</f>
        <v>0</v>
      </c>
      <c r="P177" s="69">
        <f>P$31*P95</f>
        <v>0</v>
      </c>
      <c r="Q177" s="69"/>
      <c r="R177" s="69"/>
      <c r="S177" s="69"/>
      <c r="T177" s="69"/>
    </row>
    <row r="178" spans="2:20">
      <c r="B178" s="547">
        <v>2025</v>
      </c>
      <c r="E178" s="69"/>
      <c r="F178" s="69"/>
      <c r="G178" s="69"/>
      <c r="H178" s="69"/>
      <c r="I178" s="69"/>
      <c r="J178" s="69"/>
      <c r="K178" s="69"/>
      <c r="L178" s="69"/>
      <c r="M178" s="69"/>
      <c r="N178" s="69"/>
      <c r="O178" s="69"/>
      <c r="P178" s="69">
        <f>P$31*P96</f>
        <v>0</v>
      </c>
      <c r="Q178" s="69">
        <f>Q$31*Q96</f>
        <v>0</v>
      </c>
      <c r="R178" s="69"/>
      <c r="S178" s="69"/>
      <c r="T178" s="69"/>
    </row>
    <row r="179" spans="2:20">
      <c r="B179" s="547">
        <v>2026</v>
      </c>
      <c r="E179" s="69"/>
      <c r="F179" s="69"/>
      <c r="G179" s="69"/>
      <c r="H179" s="69"/>
      <c r="I179" s="69"/>
      <c r="J179" s="69"/>
      <c r="K179" s="69"/>
      <c r="L179" s="69"/>
      <c r="M179" s="69"/>
      <c r="N179" s="69"/>
      <c r="O179" s="69"/>
      <c r="P179" s="69"/>
      <c r="Q179" s="69">
        <f>Q$31*Q97</f>
        <v>0</v>
      </c>
      <c r="R179" s="69">
        <f>R$31*R97</f>
        <v>0</v>
      </c>
      <c r="S179" s="69"/>
      <c r="T179" s="69"/>
    </row>
    <row r="180" spans="2:20">
      <c r="B180" s="547">
        <v>2027</v>
      </c>
      <c r="E180" s="69"/>
      <c r="F180" s="69"/>
      <c r="G180" s="69"/>
      <c r="H180" s="69"/>
      <c r="I180" s="69"/>
      <c r="J180" s="69"/>
      <c r="K180" s="69"/>
      <c r="L180" s="69"/>
      <c r="M180" s="69"/>
      <c r="N180" s="69"/>
      <c r="O180" s="69"/>
      <c r="P180" s="69"/>
      <c r="Q180" s="69"/>
      <c r="R180" s="69">
        <f>R$31*R98</f>
        <v>0</v>
      </c>
      <c r="S180" s="69">
        <f>S$31*S98</f>
        <v>0</v>
      </c>
      <c r="T180" s="69"/>
    </row>
    <row r="181" spans="2:20">
      <c r="B181" s="547">
        <v>2028</v>
      </c>
      <c r="E181" s="69"/>
      <c r="F181" s="69"/>
      <c r="G181" s="69"/>
      <c r="H181" s="69"/>
      <c r="I181" s="69"/>
      <c r="J181" s="69"/>
      <c r="K181" s="69"/>
      <c r="L181" s="69"/>
      <c r="M181" s="69"/>
      <c r="N181" s="69"/>
      <c r="O181" s="69"/>
      <c r="P181" s="69"/>
      <c r="Q181" s="69"/>
      <c r="R181" s="69"/>
      <c r="S181" s="69">
        <f>S$31*S99</f>
        <v>0</v>
      </c>
      <c r="T181" s="69">
        <f>T$31*T99</f>
        <v>0</v>
      </c>
    </row>
    <row r="182" spans="2:20">
      <c r="B182" s="547">
        <v>2029</v>
      </c>
      <c r="E182" s="69"/>
      <c r="F182" s="69"/>
      <c r="G182" s="69"/>
      <c r="H182" s="69"/>
      <c r="I182" s="69"/>
      <c r="J182" s="69"/>
      <c r="K182" s="69"/>
      <c r="L182" s="69"/>
      <c r="M182" s="69"/>
      <c r="N182" s="69"/>
      <c r="O182" s="69"/>
      <c r="P182" s="69"/>
      <c r="Q182" s="69"/>
      <c r="R182" s="69"/>
      <c r="S182" s="69"/>
      <c r="T182" s="69">
        <f>T$31*T100</f>
        <v>0</v>
      </c>
    </row>
    <row r="183" spans="2:20">
      <c r="B183" s="71"/>
      <c r="C183" s="27"/>
      <c r="D183" s="26"/>
      <c r="E183" s="26"/>
      <c r="F183" s="26"/>
      <c r="G183" s="26"/>
      <c r="H183" s="26"/>
      <c r="I183" s="26"/>
      <c r="J183" s="26"/>
      <c r="K183" s="26"/>
      <c r="L183" s="26"/>
      <c r="M183" s="26"/>
      <c r="N183" s="26"/>
      <c r="O183" s="26"/>
      <c r="P183" s="26"/>
      <c r="Q183" s="26"/>
      <c r="R183" s="26"/>
      <c r="S183" s="26"/>
      <c r="T183" s="26"/>
    </row>
    <row r="184" spans="2:20">
      <c r="B184" s="46" t="s">
        <v>93</v>
      </c>
    </row>
    <row r="185" spans="2:20">
      <c r="B185" s="62" t="s">
        <v>208</v>
      </c>
    </row>
    <row r="186" spans="2:20">
      <c r="B186" s="547">
        <v>2013</v>
      </c>
      <c r="E186" s="69">
        <f>E$32*E104</f>
        <v>5473227.6561599988</v>
      </c>
      <c r="F186" s="69"/>
      <c r="G186" s="69"/>
      <c r="H186" s="69"/>
      <c r="I186" s="69"/>
      <c r="J186" s="69"/>
      <c r="K186" s="69"/>
      <c r="L186" s="69"/>
      <c r="M186" s="69"/>
      <c r="N186" s="69"/>
      <c r="O186" s="69"/>
      <c r="P186" s="69"/>
      <c r="Q186" s="69"/>
      <c r="R186" s="69"/>
      <c r="S186" s="69"/>
      <c r="T186" s="69"/>
    </row>
    <row r="187" spans="2:20">
      <c r="B187" s="547">
        <v>2014</v>
      </c>
      <c r="E187" s="272">
        <f>E$32*E105</f>
        <v>285639.82717333327</v>
      </c>
      <c r="F187" s="272">
        <f>F$32*F105</f>
        <v>5861281.6241583331</v>
      </c>
      <c r="G187" s="272"/>
      <c r="H187" s="272"/>
      <c r="I187" s="272"/>
      <c r="J187" s="69"/>
      <c r="K187" s="69"/>
      <c r="L187" s="69"/>
      <c r="M187" s="69"/>
      <c r="N187" s="69"/>
      <c r="O187" s="69"/>
      <c r="P187" s="69"/>
      <c r="Q187" s="69"/>
      <c r="R187" s="69"/>
      <c r="S187" s="69"/>
      <c r="T187" s="69"/>
    </row>
    <row r="188" spans="2:20">
      <c r="B188" s="547">
        <v>2015</v>
      </c>
      <c r="E188" s="272"/>
      <c r="F188" s="272">
        <f>F$32*F106</f>
        <v>685441.95917499997</v>
      </c>
      <c r="G188" s="272">
        <f>G$32*G106</f>
        <v>4851967.8614680013</v>
      </c>
      <c r="H188" s="272"/>
      <c r="I188" s="272"/>
      <c r="J188" s="69"/>
      <c r="K188" s="69"/>
      <c r="L188" s="69"/>
      <c r="M188" s="69"/>
      <c r="N188" s="69"/>
      <c r="O188" s="69"/>
      <c r="P188" s="69"/>
      <c r="Q188" s="69"/>
      <c r="R188" s="69"/>
      <c r="S188" s="69"/>
      <c r="T188" s="69"/>
    </row>
    <row r="189" spans="2:20">
      <c r="B189" s="547">
        <v>2016</v>
      </c>
      <c r="E189" s="272"/>
      <c r="F189" s="272"/>
      <c r="G189" s="272">
        <f>G$32*G107</f>
        <v>120329.59853200002</v>
      </c>
      <c r="H189" s="272">
        <f>H$32*H107</f>
        <v>5624006.0018950002</v>
      </c>
      <c r="I189" s="272"/>
      <c r="J189" s="69"/>
      <c r="K189" s="69"/>
      <c r="L189" s="69"/>
      <c r="M189" s="69"/>
      <c r="N189" s="69"/>
      <c r="O189" s="69"/>
      <c r="P189" s="69"/>
      <c r="Q189" s="69"/>
      <c r="R189" s="69"/>
      <c r="S189" s="69"/>
      <c r="T189" s="69"/>
    </row>
    <row r="190" spans="2:20">
      <c r="B190" s="547">
        <v>2017</v>
      </c>
      <c r="E190" s="272"/>
      <c r="F190" s="272"/>
      <c r="G190" s="272"/>
      <c r="H190" s="272">
        <f>H$32*H108</f>
        <v>263156.14810499997</v>
      </c>
      <c r="I190" s="272">
        <f>I$32*I108</f>
        <v>7676911.5099999998</v>
      </c>
      <c r="J190" s="69"/>
      <c r="K190" s="69"/>
      <c r="L190" s="69"/>
      <c r="M190" s="69"/>
      <c r="N190" s="69"/>
      <c r="O190" s="69"/>
      <c r="P190" s="69"/>
      <c r="Q190" s="69"/>
      <c r="R190" s="69"/>
      <c r="S190" s="69"/>
      <c r="T190" s="69"/>
    </row>
    <row r="191" spans="2:20">
      <c r="B191" s="547">
        <v>2018</v>
      </c>
      <c r="E191" s="272"/>
      <c r="F191" s="272"/>
      <c r="G191" s="272"/>
      <c r="H191" s="272"/>
      <c r="I191" s="272">
        <f>I$32*I109</f>
        <v>315708.49</v>
      </c>
      <c r="J191" s="69">
        <f>J$32*J109</f>
        <v>6594909.9750000006</v>
      </c>
      <c r="K191" s="69"/>
      <c r="L191" s="69"/>
      <c r="M191" s="69"/>
      <c r="N191" s="69"/>
      <c r="O191" s="69"/>
      <c r="P191" s="69"/>
      <c r="Q191" s="69"/>
      <c r="R191" s="69"/>
      <c r="S191" s="69"/>
      <c r="T191" s="69"/>
    </row>
    <row r="192" spans="2:20">
      <c r="B192" s="547">
        <v>2019</v>
      </c>
      <c r="E192" s="272"/>
      <c r="F192" s="272"/>
      <c r="G192" s="272"/>
      <c r="H192" s="272"/>
      <c r="I192" s="272"/>
      <c r="J192" s="69">
        <f>J$32*J110</f>
        <v>732767.77500000002</v>
      </c>
      <c r="K192" s="548">
        <f>K$32*K110</f>
        <v>9996362.9065666664</v>
      </c>
      <c r="L192" s="69"/>
      <c r="M192" s="69"/>
      <c r="N192" s="69"/>
      <c r="O192" s="69"/>
      <c r="P192" s="69"/>
      <c r="Q192" s="69"/>
      <c r="R192" s="69"/>
      <c r="S192" s="69"/>
      <c r="T192" s="69"/>
    </row>
    <row r="193" spans="2:20">
      <c r="B193" s="547">
        <v>2020</v>
      </c>
      <c r="E193" s="272"/>
      <c r="F193" s="272"/>
      <c r="G193" s="272"/>
      <c r="H193" s="272"/>
      <c r="I193" s="272"/>
      <c r="J193" s="69"/>
      <c r="K193" s="548">
        <f>K$32*K111</f>
        <v>570616.91009999998</v>
      </c>
      <c r="L193" s="69">
        <f>L$32*L111</f>
        <v>9021924</v>
      </c>
      <c r="M193" s="69"/>
      <c r="N193" s="69"/>
      <c r="O193" s="69"/>
      <c r="P193" s="69"/>
      <c r="Q193" s="69"/>
      <c r="R193" s="69"/>
      <c r="S193" s="69"/>
      <c r="T193" s="69"/>
    </row>
    <row r="194" spans="2:20">
      <c r="B194" s="547">
        <v>2021</v>
      </c>
      <c r="E194" s="69"/>
      <c r="F194" s="69"/>
      <c r="G194" s="69"/>
      <c r="H194" s="69"/>
      <c r="I194" s="69"/>
      <c r="J194" s="69"/>
      <c r="K194" s="69"/>
      <c r="L194" s="69">
        <f>L$32*L112</f>
        <v>1002436</v>
      </c>
      <c r="M194" s="69">
        <f>M$32*M112</f>
        <v>9954570.4019999988</v>
      </c>
      <c r="N194" s="69"/>
      <c r="O194" s="69"/>
      <c r="P194" s="69"/>
      <c r="Q194" s="69"/>
      <c r="R194" s="69"/>
      <c r="S194" s="69"/>
      <c r="T194" s="69"/>
    </row>
    <row r="195" spans="2:20">
      <c r="B195" s="547">
        <v>2022</v>
      </c>
      <c r="E195" s="69"/>
      <c r="F195" s="69"/>
      <c r="G195" s="69"/>
      <c r="H195" s="69"/>
      <c r="I195" s="69"/>
      <c r="J195" s="69"/>
      <c r="K195" s="69"/>
      <c r="L195" s="69"/>
      <c r="M195" s="69">
        <f>M$32*M113</f>
        <v>1106063.378</v>
      </c>
      <c r="N195" s="69">
        <f>N$32*N113</f>
        <v>13955857.74</v>
      </c>
      <c r="O195" s="69"/>
      <c r="P195" s="69"/>
      <c r="Q195" s="69"/>
      <c r="R195" s="69"/>
      <c r="S195" s="69"/>
      <c r="T195" s="69"/>
    </row>
    <row r="196" spans="2:20">
      <c r="B196" s="547">
        <v>2023</v>
      </c>
      <c r="E196" s="69"/>
      <c r="F196" s="69"/>
      <c r="G196" s="69"/>
      <c r="H196" s="69"/>
      <c r="I196" s="69"/>
      <c r="J196" s="69"/>
      <c r="K196" s="69"/>
      <c r="L196" s="69"/>
      <c r="M196" s="69"/>
      <c r="N196" s="69">
        <f>N$32*N114</f>
        <v>1550650.86</v>
      </c>
      <c r="O196" s="69" t="e">
        <f>O$32*O114</f>
        <v>#DIV/0!</v>
      </c>
      <c r="P196" s="69"/>
      <c r="Q196" s="69"/>
      <c r="R196" s="69"/>
      <c r="S196" s="69"/>
      <c r="T196" s="69"/>
    </row>
    <row r="197" spans="2:20">
      <c r="B197" s="547">
        <v>2024</v>
      </c>
      <c r="E197" s="69"/>
      <c r="F197" s="69"/>
      <c r="G197" s="69"/>
      <c r="H197" s="69"/>
      <c r="I197" s="69"/>
      <c r="J197" s="69"/>
      <c r="K197" s="69"/>
      <c r="L197" s="69"/>
      <c r="M197" s="69"/>
      <c r="N197" s="69"/>
      <c r="O197" s="69" t="e">
        <f>O$32*O115</f>
        <v>#DIV/0!</v>
      </c>
      <c r="P197" s="69" t="e">
        <f>P$32*P115</f>
        <v>#DIV/0!</v>
      </c>
      <c r="Q197" s="69"/>
      <c r="R197" s="69"/>
      <c r="S197" s="69"/>
      <c r="T197" s="69"/>
    </row>
    <row r="198" spans="2:20">
      <c r="B198" s="547">
        <v>2025</v>
      </c>
      <c r="E198" s="69"/>
      <c r="F198" s="69"/>
      <c r="G198" s="69"/>
      <c r="H198" s="69"/>
      <c r="I198" s="69"/>
      <c r="J198" s="69"/>
      <c r="K198" s="69"/>
      <c r="L198" s="69"/>
      <c r="M198" s="69"/>
      <c r="N198" s="69"/>
      <c r="O198" s="69"/>
      <c r="P198" s="69" t="e">
        <f>P$32*P116</f>
        <v>#DIV/0!</v>
      </c>
      <c r="Q198" s="69" t="e">
        <f>Q$32*Q116</f>
        <v>#DIV/0!</v>
      </c>
      <c r="R198" s="69"/>
      <c r="S198" s="69"/>
      <c r="T198" s="69"/>
    </row>
    <row r="199" spans="2:20">
      <c r="B199" s="547">
        <v>2026</v>
      </c>
      <c r="E199" s="69"/>
      <c r="F199" s="69"/>
      <c r="G199" s="69"/>
      <c r="H199" s="69"/>
      <c r="I199" s="69"/>
      <c r="J199" s="69"/>
      <c r="K199" s="69"/>
      <c r="L199" s="69"/>
      <c r="M199" s="69"/>
      <c r="N199" s="69"/>
      <c r="O199" s="69"/>
      <c r="P199" s="69"/>
      <c r="Q199" s="69" t="e">
        <f>Q$32*Q117</f>
        <v>#DIV/0!</v>
      </c>
      <c r="R199" s="69" t="e">
        <f>R$32*R117</f>
        <v>#DIV/0!</v>
      </c>
      <c r="S199" s="69"/>
      <c r="T199" s="69"/>
    </row>
    <row r="200" spans="2:20">
      <c r="B200" s="547">
        <v>2027</v>
      </c>
      <c r="E200" s="69"/>
      <c r="F200" s="69"/>
      <c r="G200" s="69"/>
      <c r="H200" s="69"/>
      <c r="I200" s="69"/>
      <c r="J200" s="69"/>
      <c r="K200" s="69"/>
      <c r="L200" s="69"/>
      <c r="M200" s="69"/>
      <c r="N200" s="69"/>
      <c r="O200" s="69"/>
      <c r="P200" s="69"/>
      <c r="Q200" s="69"/>
      <c r="R200" s="69" t="e">
        <f>R$32*R118</f>
        <v>#DIV/0!</v>
      </c>
      <c r="S200" s="69" t="e">
        <f>S$32*S118</f>
        <v>#DIV/0!</v>
      </c>
      <c r="T200" s="69"/>
    </row>
    <row r="201" spans="2:20">
      <c r="B201" s="547">
        <v>2028</v>
      </c>
      <c r="E201" s="69"/>
      <c r="F201" s="69"/>
      <c r="G201" s="69"/>
      <c r="H201" s="69"/>
      <c r="I201" s="69"/>
      <c r="J201" s="69"/>
      <c r="K201" s="69"/>
      <c r="L201" s="69"/>
      <c r="M201" s="69"/>
      <c r="N201" s="69"/>
      <c r="O201" s="69"/>
      <c r="P201" s="69"/>
      <c r="Q201" s="69"/>
      <c r="R201" s="69"/>
      <c r="S201" s="69" t="e">
        <f>S$32*S119</f>
        <v>#DIV/0!</v>
      </c>
      <c r="T201" s="69" t="e">
        <f>T$32*T119</f>
        <v>#DIV/0!</v>
      </c>
    </row>
    <row r="202" spans="2:20">
      <c r="B202" s="547">
        <v>2029</v>
      </c>
      <c r="E202" s="69"/>
      <c r="F202" s="69"/>
      <c r="G202" s="69"/>
      <c r="H202" s="69"/>
      <c r="I202" s="69"/>
      <c r="J202" s="69"/>
      <c r="K202" s="69"/>
      <c r="L202" s="69"/>
      <c r="M202" s="69"/>
      <c r="N202" s="69"/>
      <c r="O202" s="69"/>
      <c r="P202" s="69"/>
      <c r="Q202" s="69"/>
      <c r="R202" s="69"/>
      <c r="S202" s="69"/>
      <c r="T202" s="69" t="e">
        <f>T$32*T120</f>
        <v>#DIV/0!</v>
      </c>
    </row>
    <row r="203" spans="2:20">
      <c r="B203" s="71"/>
      <c r="C203" s="27"/>
      <c r="D203" s="26"/>
      <c r="E203" s="26"/>
      <c r="F203" s="26"/>
      <c r="G203" s="26"/>
      <c r="H203" s="26"/>
      <c r="I203" s="26"/>
      <c r="J203" s="26"/>
      <c r="K203" s="26"/>
      <c r="L203" s="26"/>
      <c r="M203" s="26"/>
      <c r="N203" s="26"/>
      <c r="O203" s="26"/>
      <c r="P203" s="26"/>
      <c r="Q203" s="26"/>
      <c r="R203" s="26"/>
      <c r="S203" s="26"/>
      <c r="T203" s="26"/>
    </row>
  </sheetData>
  <sheetProtection selectLockedCells="1" selectUnlockedCells="1"/>
  <phoneticPr fontId="3" type="noConversion"/>
  <pageMargins left="0.78740157499999996" right="0.78740157499999996" top="0.984251969" bottom="0.984251969" header="0.49212598499999999" footer="0.49212598499999999"/>
  <pageSetup paperSize="9" scale="30"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Plan7"/>
  <dimension ref="A1:Z54"/>
  <sheetViews>
    <sheetView showGridLines="0" showOutlineSymbols="0" zoomScale="110" zoomScaleNormal="110" workbookViewId="0">
      <pane xSplit="3" ySplit="6" topLeftCell="D7" activePane="bottomRight" state="frozen"/>
      <selection activeCell="H123" sqref="H123"/>
      <selection pane="topRight" activeCell="H123" sqref="H123"/>
      <selection pane="bottomLeft" activeCell="H123" sqref="H123"/>
      <selection pane="bottomRight" activeCell="O25" sqref="O25"/>
    </sheetView>
  </sheetViews>
  <sheetFormatPr defaultColWidth="0" defaultRowHeight="15"/>
  <cols>
    <col min="1" max="1" width="3.5703125" style="96" customWidth="1"/>
    <col min="2" max="3" width="15" style="96" customWidth="1"/>
    <col min="4" max="8" width="10.85546875" style="96" hidden="1" customWidth="1"/>
    <col min="9" max="11" width="11.28515625" style="96" hidden="1" customWidth="1"/>
    <col min="12" max="12" width="11.140625" style="96" hidden="1" customWidth="1"/>
    <col min="13" max="19" width="11.140625" style="96" customWidth="1"/>
    <col min="20" max="20" width="3.28515625" style="96" customWidth="1"/>
    <col min="21" max="26" width="7.7109375" style="96" hidden="1" customWidth="1"/>
    <col min="27" max="16384" width="8" style="96" hidden="1"/>
  </cols>
  <sheetData>
    <row r="1" spans="1:19" s="45" customFormat="1" ht="21" customHeight="1">
      <c r="B1" s="152" t="s">
        <v>2</v>
      </c>
      <c r="C1" s="97"/>
      <c r="D1" s="97"/>
      <c r="E1" s="97"/>
      <c r="F1" s="97"/>
      <c r="G1" s="97"/>
      <c r="H1" s="97"/>
      <c r="I1" s="97"/>
      <c r="J1" s="97"/>
      <c r="K1" s="97"/>
      <c r="L1" s="97"/>
      <c r="M1" s="97"/>
      <c r="N1" s="97"/>
      <c r="O1" s="97"/>
      <c r="P1" s="97"/>
      <c r="Q1" s="97"/>
      <c r="R1" s="97"/>
      <c r="S1" s="97"/>
    </row>
    <row r="2" spans="1:19" s="45" customFormat="1" ht="16.5" customHeight="1" thickBot="1">
      <c r="B2" s="153" t="s">
        <v>359</v>
      </c>
      <c r="C2" s="98"/>
      <c r="D2" s="99"/>
      <c r="E2" s="99"/>
      <c r="F2" s="99"/>
      <c r="G2" s="99"/>
      <c r="H2" s="99"/>
      <c r="I2" s="99"/>
      <c r="J2" s="99"/>
      <c r="K2" s="99"/>
      <c r="L2" s="99"/>
      <c r="M2" s="99"/>
      <c r="N2" s="99"/>
      <c r="O2" s="183"/>
      <c r="P2" s="183"/>
      <c r="Q2" s="183"/>
      <c r="R2" s="183"/>
      <c r="S2" s="183"/>
    </row>
    <row r="3" spans="1:19" s="45" customFormat="1" ht="0.75" customHeight="1"/>
    <row r="4" spans="1:19" s="45" customFormat="1" ht="24" customHeight="1">
      <c r="B4" s="100"/>
      <c r="C4" s="100"/>
      <c r="D4" s="101"/>
      <c r="E4" s="101"/>
      <c r="F4" s="101"/>
      <c r="G4" s="101"/>
      <c r="H4" s="101"/>
      <c r="I4" s="101"/>
      <c r="J4" s="101"/>
      <c r="K4" s="101"/>
      <c r="L4" s="101"/>
      <c r="M4" s="101"/>
      <c r="N4" s="101"/>
      <c r="O4" s="101"/>
      <c r="P4" s="101"/>
      <c r="Q4" s="101"/>
      <c r="R4" s="101"/>
      <c r="S4" s="101"/>
    </row>
    <row r="5" spans="1:19" s="545" customFormat="1" ht="12.75" customHeight="1">
      <c r="A5" s="544"/>
      <c r="B5" s="541" t="s">
        <v>1</v>
      </c>
      <c r="C5" s="543"/>
      <c r="D5" s="528">
        <v>2013</v>
      </c>
      <c r="E5" s="528">
        <v>2014</v>
      </c>
      <c r="F5" s="528">
        <v>2015</v>
      </c>
      <c r="G5" s="528">
        <v>2016</v>
      </c>
      <c r="H5" s="528">
        <v>2017</v>
      </c>
      <c r="I5" s="528">
        <v>2018</v>
      </c>
      <c r="J5" s="528">
        <v>2019</v>
      </c>
      <c r="K5" s="528">
        <v>2020</v>
      </c>
      <c r="L5" s="528">
        <v>2021</v>
      </c>
      <c r="M5" s="528">
        <v>2022</v>
      </c>
      <c r="N5" s="528">
        <v>2023</v>
      </c>
      <c r="O5" s="528">
        <v>2024</v>
      </c>
      <c r="P5" s="528">
        <v>2025</v>
      </c>
      <c r="Q5" s="528">
        <v>2026</v>
      </c>
      <c r="R5" s="528">
        <v>2027</v>
      </c>
      <c r="S5" s="528">
        <v>2028</v>
      </c>
    </row>
    <row r="6" spans="1:19" s="94" customFormat="1" ht="12.75" customHeight="1">
      <c r="B6" s="6"/>
      <c r="C6" s="14"/>
      <c r="D6" s="56" t="s">
        <v>3</v>
      </c>
      <c r="E6" s="56" t="s">
        <v>3</v>
      </c>
      <c r="F6" s="56" t="s">
        <v>3</v>
      </c>
      <c r="G6" s="56" t="s">
        <v>3</v>
      </c>
      <c r="H6" s="56" t="s">
        <v>3</v>
      </c>
      <c r="I6" s="56" t="s">
        <v>3</v>
      </c>
      <c r="J6" s="56" t="s">
        <v>4</v>
      </c>
      <c r="K6" s="56" t="s">
        <v>4</v>
      </c>
      <c r="L6" s="56" t="s">
        <v>4</v>
      </c>
      <c r="M6" s="56" t="s">
        <v>4</v>
      </c>
      <c r="N6" s="56" t="s">
        <v>4</v>
      </c>
      <c r="O6" s="56" t="s">
        <v>4</v>
      </c>
      <c r="P6" s="56" t="s">
        <v>4</v>
      </c>
      <c r="Q6" s="56" t="s">
        <v>4</v>
      </c>
      <c r="R6" s="56" t="s">
        <v>4</v>
      </c>
      <c r="S6" s="56" t="s">
        <v>4</v>
      </c>
    </row>
    <row r="7" spans="1:19" s="94" customFormat="1" ht="12" customHeight="1">
      <c r="B7" s="76"/>
      <c r="C7" s="76"/>
      <c r="D7" s="76"/>
      <c r="E7" s="76"/>
      <c r="F7" s="76"/>
      <c r="G7" s="76"/>
      <c r="H7" s="76"/>
      <c r="I7" s="76"/>
      <c r="J7" s="76"/>
      <c r="K7" s="76"/>
      <c r="L7" s="76"/>
      <c r="M7" s="76"/>
      <c r="N7" s="76"/>
      <c r="O7" s="76"/>
      <c r="P7" s="76"/>
      <c r="Q7" s="76"/>
      <c r="R7" s="76"/>
      <c r="S7" s="76"/>
    </row>
    <row r="8" spans="1:19" s="76" customFormat="1" ht="20.25" customHeight="1">
      <c r="B8" s="395" t="s">
        <v>211</v>
      </c>
      <c r="C8" s="396"/>
      <c r="D8" s="396"/>
      <c r="E8" s="396"/>
      <c r="F8" s="396"/>
      <c r="G8" s="396"/>
      <c r="H8" s="396"/>
      <c r="I8" s="396"/>
      <c r="J8" s="396"/>
      <c r="K8" s="396"/>
      <c r="L8" s="396"/>
      <c r="M8" s="396"/>
      <c r="N8" s="396"/>
      <c r="O8" s="396"/>
      <c r="P8" s="396"/>
      <c r="Q8" s="396"/>
      <c r="R8" s="396"/>
      <c r="S8" s="396"/>
    </row>
    <row r="9" spans="1:19" s="76" customFormat="1" ht="20.25" customHeight="1">
      <c r="B9" s="396" t="s">
        <v>89</v>
      </c>
      <c r="C9" s="396"/>
      <c r="D9" s="285">
        <v>0</v>
      </c>
      <c r="E9" s="285">
        <v>0</v>
      </c>
      <c r="F9" s="285">
        <v>0</v>
      </c>
      <c r="G9" s="285">
        <v>0</v>
      </c>
      <c r="H9" s="285">
        <v>0</v>
      </c>
      <c r="I9" s="285">
        <v>0</v>
      </c>
      <c r="J9" s="285">
        <v>0</v>
      </c>
      <c r="K9" s="285">
        <v>0</v>
      </c>
      <c r="L9" s="285">
        <v>0</v>
      </c>
      <c r="M9" s="285">
        <f>((((Assumptions!N107-Assumptions!N118)*2.2046)*Assumptions!N127)*Production!N29)/1000</f>
        <v>0</v>
      </c>
      <c r="N9" s="285">
        <f>((((Assumptions!O107-Assumptions!O118)*2.2046)*Assumptions!O127)*Production!O29)/1000</f>
        <v>0</v>
      </c>
      <c r="O9" s="285">
        <f>((((Assumptions!P107-Assumptions!P118)*2.2046)*Assumptions!P127)*Production!P29)/1000</f>
        <v>0</v>
      </c>
      <c r="P9" s="285">
        <f>((((Assumptions!Q107-Assumptions!Q118)*2.2046)*Assumptions!Q127)*Production!Q29)/1000</f>
        <v>0</v>
      </c>
      <c r="Q9" s="285">
        <f>((((Assumptions!R107-Assumptions!R118)*2.2046)*Assumptions!R127)*Production!R29)/1000</f>
        <v>0</v>
      </c>
      <c r="R9" s="285">
        <f>((((Assumptions!S107-Assumptions!S118)*2.2046)*Assumptions!S127)*Production!S29)/1000</f>
        <v>0</v>
      </c>
      <c r="S9" s="285">
        <f>((((Assumptions!T107-Assumptions!T118)*2.2046)*Assumptions!T127)*Production!T29)/1000</f>
        <v>0</v>
      </c>
    </row>
    <row r="10" spans="1:19" s="76" customFormat="1" ht="20.25" customHeight="1">
      <c r="B10" s="396" t="s">
        <v>93</v>
      </c>
      <c r="C10" s="396"/>
      <c r="D10" s="285">
        <v>0</v>
      </c>
      <c r="E10" s="285">
        <v>0</v>
      </c>
      <c r="F10" s="285">
        <v>0</v>
      </c>
      <c r="G10" s="285">
        <v>0</v>
      </c>
      <c r="H10" s="285">
        <v>0</v>
      </c>
      <c r="I10" s="285">
        <v>0</v>
      </c>
      <c r="J10" s="285">
        <v>0</v>
      </c>
      <c r="K10" s="285">
        <v>0</v>
      </c>
      <c r="L10" s="285">
        <v>0</v>
      </c>
      <c r="M10" s="285">
        <f>((Assumptions!N111)*(Production!M195+Production!N195)/1000)</f>
        <v>0</v>
      </c>
      <c r="N10" s="285">
        <f>((Assumptions!O111)*(Production!M195+Production!N195)/1000)</f>
        <v>0</v>
      </c>
      <c r="O10" s="285" t="e">
        <f>((Assumptions!P111)*(Production!N196+Production!O196)/1000)</f>
        <v>#DIV/0!</v>
      </c>
      <c r="P10" s="285" t="e">
        <f>((Assumptions!Q111)*(Production!O197+Production!P197)/1000)</f>
        <v>#DIV/0!</v>
      </c>
      <c r="Q10" s="285" t="e">
        <f>((Assumptions!R111)*(Production!P198+Production!Q198)/1000)</f>
        <v>#DIV/0!</v>
      </c>
      <c r="R10" s="285" t="e">
        <f>((Assumptions!S111)*(Production!Q199+Production!R199)/1000)</f>
        <v>#DIV/0!</v>
      </c>
      <c r="S10" s="285" t="e">
        <f>((Assumptions!T111)*(Production!R200+Production!S200)/1000)</f>
        <v>#DIV/0!</v>
      </c>
    </row>
    <row r="11" spans="1:19" s="76" customFormat="1" ht="20.25" customHeight="1">
      <c r="B11" s="396" t="s">
        <v>114</v>
      </c>
      <c r="C11" s="396"/>
      <c r="D11" s="285">
        <v>0</v>
      </c>
      <c r="E11" s="285">
        <v>0</v>
      </c>
      <c r="F11" s="285">
        <v>0</v>
      </c>
      <c r="G11" s="285">
        <v>0</v>
      </c>
      <c r="H11" s="285">
        <v>0</v>
      </c>
      <c r="I11" s="285">
        <v>0</v>
      </c>
      <c r="J11" s="285">
        <v>0</v>
      </c>
      <c r="K11" s="285">
        <v>0</v>
      </c>
      <c r="L11" s="285">
        <v>0</v>
      </c>
      <c r="M11" s="285">
        <f>(((((Assumptions!N109)/100)*2.2046*15)*Assumptions!N127)*(Production!M155+Production!N155))/1000</f>
        <v>0</v>
      </c>
      <c r="N11" s="285" t="e">
        <f>(((((Assumptions!O109)/100)*2.2046*15)*Assumptions!O127)*(Production!N156+Production!O156))/1000</f>
        <v>#DIV/0!</v>
      </c>
      <c r="O11" s="285" t="e">
        <f>(((((Assumptions!P109)/100)*2.2046*15)*Assumptions!P127)*(Production!O157+Production!P157))/1000</f>
        <v>#DIV/0!</v>
      </c>
      <c r="P11" s="285" t="e">
        <f>(((((Assumptions!Q109)/100)*2.2046*15)*Assumptions!Q127)*(Production!P158+Production!Q158))/1000</f>
        <v>#DIV/0!</v>
      </c>
      <c r="Q11" s="285" t="e">
        <f>(((((Assumptions!R109)/100)*2.2046*15)*Assumptions!R127)*(Production!Q159+Production!R159))/1000</f>
        <v>#DIV/0!</v>
      </c>
      <c r="R11" s="285" t="e">
        <f>(((((Assumptions!S109)/100)*2.2046*15)*Assumptions!S127)*(Production!R160+Production!S160))/1000</f>
        <v>#DIV/0!</v>
      </c>
      <c r="S11" s="285" t="e">
        <f>(((((Assumptions!T109)/100)*2.2046*15)*Assumptions!T127)*(Production!S161+Production!T161))/1000</f>
        <v>#DIV/0!</v>
      </c>
    </row>
    <row r="12" spans="1:19" s="76" customFormat="1" ht="20.25" customHeight="1">
      <c r="B12" s="396" t="s">
        <v>118</v>
      </c>
      <c r="C12" s="396"/>
      <c r="D12" s="285">
        <v>0</v>
      </c>
      <c r="E12" s="285">
        <v>0</v>
      </c>
      <c r="F12" s="285">
        <v>0</v>
      </c>
      <c r="G12" s="285">
        <v>0</v>
      </c>
      <c r="H12" s="285">
        <v>0</v>
      </c>
      <c r="I12" s="285">
        <v>0</v>
      </c>
      <c r="J12" s="285">
        <v>0</v>
      </c>
      <c r="K12" s="285">
        <v>0</v>
      </c>
      <c r="L12" s="285">
        <v>0</v>
      </c>
      <c r="M12" s="285">
        <f>(Assumptions!N113*(Production!M175+Production!N175))/1000</f>
        <v>0</v>
      </c>
      <c r="N12" s="285">
        <f>(Assumptions!O113*(Production!N176+Production!O176))/1000</f>
        <v>0</v>
      </c>
      <c r="O12" s="285">
        <f>(Assumptions!P113*(Production!O177+Production!P177))/1000</f>
        <v>0</v>
      </c>
      <c r="P12" s="285">
        <f>(Assumptions!Q113*(Production!P178+Production!Q178))/1000</f>
        <v>0</v>
      </c>
      <c r="Q12" s="285">
        <f>(Assumptions!R113*(Production!Q179+Production!R179))/1000</f>
        <v>0</v>
      </c>
      <c r="R12" s="285">
        <f>(Assumptions!S113*(Production!R180+Production!S180))/1000</f>
        <v>0</v>
      </c>
      <c r="S12" s="285">
        <f>(Assumptions!T113*(Production!S181+Production!T181))/1000</f>
        <v>0</v>
      </c>
    </row>
    <row r="13" spans="1:19" s="76" customFormat="1" ht="20.25" customHeight="1">
      <c r="B13" s="397" t="s">
        <v>212</v>
      </c>
      <c r="C13" s="398"/>
      <c r="D13" s="399">
        <f t="shared" ref="D13:S13" si="0">SUM(D9:D12)</f>
        <v>0</v>
      </c>
      <c r="E13" s="399">
        <f t="shared" si="0"/>
        <v>0</v>
      </c>
      <c r="F13" s="399">
        <f t="shared" si="0"/>
        <v>0</v>
      </c>
      <c r="G13" s="399">
        <f t="shared" si="0"/>
        <v>0</v>
      </c>
      <c r="H13" s="399">
        <f t="shared" si="0"/>
        <v>0</v>
      </c>
      <c r="I13" s="399">
        <f t="shared" si="0"/>
        <v>0</v>
      </c>
      <c r="J13" s="399">
        <f t="shared" si="0"/>
        <v>0</v>
      </c>
      <c r="K13" s="399">
        <f t="shared" si="0"/>
        <v>0</v>
      </c>
      <c r="L13" s="399">
        <f t="shared" si="0"/>
        <v>0</v>
      </c>
      <c r="M13" s="399">
        <f t="shared" si="0"/>
        <v>0</v>
      </c>
      <c r="N13" s="399" t="e">
        <f t="shared" si="0"/>
        <v>#DIV/0!</v>
      </c>
      <c r="O13" s="399" t="e">
        <f t="shared" si="0"/>
        <v>#DIV/0!</v>
      </c>
      <c r="P13" s="399" t="e">
        <f t="shared" si="0"/>
        <v>#DIV/0!</v>
      </c>
      <c r="Q13" s="399" t="e">
        <f t="shared" si="0"/>
        <v>#DIV/0!</v>
      </c>
      <c r="R13" s="399" t="e">
        <f t="shared" si="0"/>
        <v>#DIV/0!</v>
      </c>
      <c r="S13" s="399" t="e">
        <f t="shared" si="0"/>
        <v>#DIV/0!</v>
      </c>
    </row>
    <row r="14" spans="1:19" s="76" customFormat="1" ht="20.25" customHeight="1">
      <c r="B14" s="396"/>
      <c r="C14" s="396"/>
      <c r="D14" s="396"/>
      <c r="E14" s="396"/>
      <c r="F14" s="396"/>
      <c r="G14" s="396"/>
      <c r="H14" s="396"/>
      <c r="I14" s="285"/>
      <c r="J14" s="285"/>
      <c r="K14" s="285"/>
      <c r="L14" s="285"/>
      <c r="M14" s="285"/>
      <c r="N14" s="285"/>
      <c r="O14" s="285"/>
      <c r="P14" s="285"/>
      <c r="Q14" s="285"/>
      <c r="R14" s="285"/>
      <c r="S14" s="285"/>
    </row>
    <row r="15" spans="1:19" s="76" customFormat="1" ht="20.25" customHeight="1">
      <c r="B15" s="396"/>
      <c r="C15" s="396"/>
      <c r="D15" s="396"/>
      <c r="E15" s="396"/>
      <c r="F15" s="396"/>
      <c r="G15" s="396"/>
      <c r="H15" s="396"/>
      <c r="I15" s="400"/>
      <c r="J15" s="400"/>
      <c r="K15" s="400"/>
      <c r="L15" s="400"/>
      <c r="M15" s="400"/>
      <c r="N15" s="400"/>
      <c r="O15" s="400"/>
      <c r="P15" s="400"/>
      <c r="Q15" s="400"/>
      <c r="R15" s="400"/>
      <c r="S15" s="400"/>
    </row>
    <row r="16" spans="1:19" s="76" customFormat="1" ht="20.25" customHeight="1">
      <c r="B16" s="397" t="s">
        <v>213</v>
      </c>
      <c r="C16" s="398"/>
      <c r="D16" s="401">
        <f>Assumptions!E134</f>
        <v>-4.3271080353580044E-2</v>
      </c>
      <c r="E16" s="401">
        <f>Assumptions!F134</f>
        <v>-4.7922790053871421E-2</v>
      </c>
      <c r="F16" s="401">
        <f>Assumptions!G134</f>
        <v>-3.6585773318727352E-2</v>
      </c>
      <c r="G16" s="401">
        <f>Assumptions!H134</f>
        <v>-5.9161169810452184E-2</v>
      </c>
      <c r="H16" s="401">
        <f>Assumptions!I134</f>
        <v>-3.8583361398909569E-2</v>
      </c>
      <c r="I16" s="401">
        <f>Assumptions!J134</f>
        <v>-2.7964151205935924E-2</v>
      </c>
      <c r="J16" s="401">
        <f>Assumptions!K134</f>
        <v>-2.8855767482675279E-2</v>
      </c>
      <c r="K16" s="401">
        <f>Assumptions!L134</f>
        <v>-2.7469367856286644E-2</v>
      </c>
      <c r="L16" s="401">
        <f>Assumptions!M134</f>
        <v>-2.6148719340372061E-2</v>
      </c>
      <c r="M16" s="401">
        <f>Assumptions!N134</f>
        <v>0</v>
      </c>
      <c r="N16" s="401">
        <f>Assumptions!O134</f>
        <v>0</v>
      </c>
      <c r="O16" s="401">
        <f>Assumptions!P134</f>
        <v>0</v>
      </c>
      <c r="P16" s="401">
        <f>Assumptions!Q134</f>
        <v>0</v>
      </c>
      <c r="Q16" s="401">
        <f>Assumptions!R134</f>
        <v>0</v>
      </c>
      <c r="R16" s="401">
        <f>Assumptions!S134</f>
        <v>0</v>
      </c>
      <c r="S16" s="401">
        <f>Assumptions!T134</f>
        <v>0</v>
      </c>
    </row>
    <row r="17" spans="2:19" s="76" customFormat="1" ht="20.25" customHeight="1">
      <c r="B17" s="395" t="s">
        <v>214</v>
      </c>
      <c r="C17" s="396"/>
      <c r="D17" s="402">
        <f>D13*D16</f>
        <v>0</v>
      </c>
      <c r="E17" s="402">
        <f t="shared" ref="E17:N17" si="1">E13*E16</f>
        <v>0</v>
      </c>
      <c r="F17" s="402">
        <f t="shared" si="1"/>
        <v>0</v>
      </c>
      <c r="G17" s="402">
        <f t="shared" si="1"/>
        <v>0</v>
      </c>
      <c r="H17" s="402">
        <f t="shared" si="1"/>
        <v>0</v>
      </c>
      <c r="I17" s="402">
        <f t="shared" si="1"/>
        <v>0</v>
      </c>
      <c r="J17" s="402">
        <f t="shared" si="1"/>
        <v>0</v>
      </c>
      <c r="K17" s="402">
        <f t="shared" si="1"/>
        <v>0</v>
      </c>
      <c r="L17" s="402">
        <f t="shared" si="1"/>
        <v>0</v>
      </c>
      <c r="M17" s="402">
        <f t="shared" si="1"/>
        <v>0</v>
      </c>
      <c r="N17" s="402" t="e">
        <f t="shared" si="1"/>
        <v>#DIV/0!</v>
      </c>
      <c r="O17" s="402" t="e">
        <f>O13*O16</f>
        <v>#DIV/0!</v>
      </c>
      <c r="P17" s="402" t="e">
        <f>P13*P16</f>
        <v>#DIV/0!</v>
      </c>
      <c r="Q17" s="402" t="e">
        <f>Q13*Q16</f>
        <v>#DIV/0!</v>
      </c>
      <c r="R17" s="402" t="e">
        <f>R13*R16</f>
        <v>#DIV/0!</v>
      </c>
      <c r="S17" s="402" t="e">
        <f>S13*S16</f>
        <v>#DIV/0!</v>
      </c>
    </row>
    <row r="18" spans="2:19" s="76" customFormat="1" ht="20.25" customHeight="1">
      <c r="B18" s="396"/>
      <c r="C18" s="396"/>
      <c r="D18" s="396"/>
      <c r="E18" s="396"/>
      <c r="F18" s="396"/>
      <c r="G18" s="396"/>
      <c r="H18" s="396"/>
      <c r="I18" s="396"/>
      <c r="J18" s="396"/>
      <c r="K18" s="396"/>
      <c r="L18" s="396"/>
      <c r="M18" s="396"/>
      <c r="N18" s="396"/>
      <c r="O18" s="396"/>
      <c r="P18" s="396"/>
      <c r="Q18" s="396"/>
      <c r="R18" s="396"/>
      <c r="S18" s="396"/>
    </row>
    <row r="19" spans="2:19" s="76" customFormat="1" ht="20.25" customHeight="1">
      <c r="B19" s="395"/>
      <c r="C19" s="396"/>
      <c r="D19" s="396"/>
      <c r="E19" s="396"/>
      <c r="F19" s="396"/>
      <c r="G19" s="396"/>
      <c r="H19" s="396"/>
      <c r="I19" s="396"/>
      <c r="J19" s="396"/>
      <c r="K19" s="396"/>
      <c r="L19" s="396"/>
      <c r="M19" s="396"/>
      <c r="N19" s="396"/>
      <c r="O19" s="396"/>
      <c r="P19" s="396"/>
      <c r="Q19" s="396"/>
      <c r="R19" s="396"/>
      <c r="S19" s="396"/>
    </row>
    <row r="20" spans="2:19" s="76" customFormat="1" ht="20.25" customHeight="1">
      <c r="B20" s="403" t="s">
        <v>215</v>
      </c>
      <c r="C20" s="404"/>
      <c r="D20" s="405">
        <f>D13+D17</f>
        <v>0</v>
      </c>
      <c r="E20" s="405">
        <f t="shared" ref="E20:N20" si="2">E13+E17</f>
        <v>0</v>
      </c>
      <c r="F20" s="405">
        <f t="shared" si="2"/>
        <v>0</v>
      </c>
      <c r="G20" s="405">
        <f t="shared" si="2"/>
        <v>0</v>
      </c>
      <c r="H20" s="405">
        <f t="shared" si="2"/>
        <v>0</v>
      </c>
      <c r="I20" s="405">
        <f t="shared" si="2"/>
        <v>0</v>
      </c>
      <c r="J20" s="405">
        <f t="shared" si="2"/>
        <v>0</v>
      </c>
      <c r="K20" s="405">
        <f t="shared" si="2"/>
        <v>0</v>
      </c>
      <c r="L20" s="405">
        <f t="shared" si="2"/>
        <v>0</v>
      </c>
      <c r="M20" s="405">
        <f t="shared" si="2"/>
        <v>0</v>
      </c>
      <c r="N20" s="405" t="e">
        <f t="shared" si="2"/>
        <v>#DIV/0!</v>
      </c>
      <c r="O20" s="405" t="e">
        <f>O13+O17</f>
        <v>#DIV/0!</v>
      </c>
      <c r="P20" s="405" t="e">
        <f>P13+P17</f>
        <v>#DIV/0!</v>
      </c>
      <c r="Q20" s="405" t="e">
        <f>Q13+Q17</f>
        <v>#DIV/0!</v>
      </c>
      <c r="R20" s="405" t="e">
        <f>R13+R17</f>
        <v>#DIV/0!</v>
      </c>
      <c r="S20" s="405" t="e">
        <f>S13+S17</f>
        <v>#DIV/0!</v>
      </c>
    </row>
    <row r="21" spans="2:19" ht="12" customHeight="1">
      <c r="B21" s="76"/>
      <c r="C21" s="76"/>
      <c r="D21" s="76"/>
      <c r="E21" s="250"/>
      <c r="F21" s="76"/>
      <c r="G21" s="76"/>
      <c r="H21" s="76"/>
      <c r="I21" s="76"/>
      <c r="J21" s="76"/>
      <c r="K21" s="76"/>
      <c r="L21" s="76"/>
      <c r="M21" s="76"/>
      <c r="N21" s="76"/>
      <c r="O21" s="76"/>
      <c r="P21" s="76"/>
      <c r="Q21" s="76"/>
      <c r="R21" s="76"/>
      <c r="S21" s="76"/>
    </row>
    <row r="22" spans="2:19" ht="12" customHeight="1">
      <c r="B22" s="76"/>
      <c r="C22" s="76"/>
      <c r="D22" s="76"/>
      <c r="E22" s="76"/>
      <c r="F22" s="76"/>
      <c r="G22" s="76"/>
      <c r="H22" s="76"/>
      <c r="I22" s="76"/>
      <c r="J22" s="76"/>
      <c r="K22" s="76"/>
      <c r="L22" s="76"/>
      <c r="M22" s="76"/>
      <c r="N22" s="76"/>
      <c r="O22" s="76"/>
      <c r="P22" s="76"/>
      <c r="Q22" s="76"/>
      <c r="R22" s="76"/>
      <c r="S22" s="76"/>
    </row>
    <row r="23" spans="2:19" ht="12" customHeight="1">
      <c r="B23" s="76"/>
      <c r="C23" s="76"/>
      <c r="D23" s="76"/>
      <c r="E23" s="76"/>
      <c r="F23" s="76"/>
      <c r="G23" s="76"/>
      <c r="H23" s="76"/>
      <c r="I23" s="76"/>
      <c r="J23" s="76"/>
      <c r="K23" s="76"/>
      <c r="L23" s="76"/>
      <c r="M23" s="76"/>
      <c r="N23" s="76"/>
      <c r="O23" s="76"/>
      <c r="P23" s="76"/>
      <c r="Q23" s="76"/>
      <c r="R23" s="76"/>
      <c r="S23" s="76"/>
    </row>
    <row r="24" spans="2:19" ht="12" customHeight="1">
      <c r="B24" s="76"/>
      <c r="C24" s="76"/>
      <c r="D24" s="76"/>
      <c r="E24" s="76"/>
      <c r="F24" s="76"/>
      <c r="G24" s="76"/>
      <c r="H24" s="76"/>
      <c r="I24" s="76"/>
      <c r="J24" s="76"/>
      <c r="K24" s="76"/>
      <c r="L24" s="76"/>
      <c r="M24" s="76"/>
      <c r="N24" s="76"/>
      <c r="O24" s="76"/>
      <c r="P24" s="76"/>
      <c r="Q24" s="76"/>
      <c r="R24" s="76"/>
      <c r="S24" s="76"/>
    </row>
    <row r="25" spans="2:19" ht="12" customHeight="1">
      <c r="B25" s="76"/>
      <c r="C25" s="76"/>
      <c r="D25" s="76"/>
      <c r="E25" s="76"/>
      <c r="F25" s="76"/>
      <c r="G25" s="76"/>
      <c r="H25" s="76"/>
      <c r="I25" s="76"/>
      <c r="J25" s="76"/>
      <c r="K25" s="76"/>
      <c r="L25" s="76"/>
      <c r="M25" s="76"/>
      <c r="N25" s="76"/>
      <c r="O25" s="76"/>
      <c r="P25" s="76"/>
      <c r="Q25" s="76"/>
      <c r="R25" s="76"/>
      <c r="S25" s="76"/>
    </row>
    <row r="26" spans="2:19" ht="12" customHeight="1">
      <c r="B26" s="76"/>
      <c r="C26" s="76"/>
      <c r="D26" s="76"/>
      <c r="E26" s="76"/>
      <c r="F26" s="76"/>
      <c r="G26" s="76"/>
      <c r="H26" s="76"/>
      <c r="I26" s="76"/>
      <c r="J26" s="76"/>
      <c r="K26" s="76"/>
      <c r="L26" s="76"/>
      <c r="M26" s="76"/>
      <c r="N26" s="76"/>
      <c r="O26" s="76"/>
      <c r="P26" s="76"/>
      <c r="Q26" s="76"/>
      <c r="R26" s="76"/>
      <c r="S26" s="76"/>
    </row>
    <row r="27" spans="2:19" ht="12" customHeight="1">
      <c r="B27" s="76"/>
      <c r="C27" s="76"/>
      <c r="D27" s="76"/>
      <c r="E27" s="76"/>
      <c r="F27" s="76"/>
      <c r="G27" s="76"/>
      <c r="H27" s="76"/>
      <c r="I27" s="76"/>
      <c r="J27" s="76"/>
      <c r="K27" s="76"/>
      <c r="L27" s="76"/>
      <c r="M27" s="76"/>
      <c r="N27" s="76"/>
      <c r="O27" s="76"/>
      <c r="P27" s="76"/>
      <c r="Q27" s="76"/>
      <c r="R27" s="76"/>
      <c r="S27" s="76"/>
    </row>
    <row r="28" spans="2:19" ht="12" customHeight="1">
      <c r="B28" s="76"/>
      <c r="C28" s="76"/>
      <c r="D28" s="76"/>
      <c r="E28" s="76"/>
      <c r="F28" s="76"/>
      <c r="G28" s="76"/>
      <c r="H28" s="76"/>
      <c r="I28" s="76"/>
      <c r="J28" s="76"/>
      <c r="K28" s="76"/>
      <c r="L28" s="76"/>
      <c r="M28" s="76"/>
      <c r="N28" s="76"/>
      <c r="O28" s="76"/>
      <c r="P28" s="76"/>
      <c r="Q28" s="76"/>
      <c r="R28" s="76"/>
      <c r="S28" s="76"/>
    </row>
    <row r="29" spans="2:19" ht="12" customHeight="1">
      <c r="B29" s="76"/>
      <c r="C29" s="76"/>
      <c r="D29" s="76"/>
      <c r="E29" s="76"/>
      <c r="F29" s="76"/>
      <c r="G29" s="76"/>
      <c r="H29" s="76"/>
      <c r="I29" s="76"/>
      <c r="J29" s="76"/>
      <c r="K29" s="76"/>
      <c r="L29" s="76"/>
      <c r="M29" s="76"/>
      <c r="N29" s="76"/>
      <c r="O29" s="76"/>
      <c r="P29" s="76"/>
      <c r="Q29" s="76"/>
      <c r="R29" s="76"/>
      <c r="S29" s="76"/>
    </row>
    <row r="30" spans="2:19" ht="12" customHeight="1">
      <c r="B30" s="76"/>
      <c r="C30" s="76"/>
      <c r="D30" s="76"/>
      <c r="E30" s="76"/>
      <c r="F30" s="76"/>
      <c r="G30" s="76"/>
      <c r="H30" s="76"/>
      <c r="I30" s="76"/>
      <c r="J30" s="76"/>
      <c r="K30" s="76"/>
      <c r="L30" s="76"/>
      <c r="M30" s="76"/>
      <c r="N30" s="76"/>
      <c r="O30" s="76"/>
      <c r="P30" s="76"/>
      <c r="Q30" s="76"/>
      <c r="R30" s="76"/>
      <c r="S30" s="76"/>
    </row>
    <row r="31" spans="2:19" ht="12" customHeight="1">
      <c r="B31" s="76"/>
      <c r="C31" s="76"/>
      <c r="D31" s="76"/>
      <c r="E31" s="76"/>
      <c r="F31" s="76"/>
      <c r="G31" s="76"/>
      <c r="H31" s="76"/>
      <c r="I31" s="76"/>
      <c r="J31" s="76"/>
      <c r="K31" s="76"/>
      <c r="L31" s="76"/>
      <c r="M31" s="76"/>
      <c r="N31" s="76"/>
      <c r="O31" s="76"/>
      <c r="P31" s="76"/>
      <c r="Q31" s="76"/>
      <c r="R31" s="76"/>
      <c r="S31" s="76"/>
    </row>
    <row r="32" spans="2:19" ht="12" customHeight="1">
      <c r="B32" s="76"/>
      <c r="C32" s="76"/>
      <c r="D32" s="76"/>
      <c r="E32" s="76"/>
      <c r="F32" s="76"/>
      <c r="G32" s="76"/>
      <c r="H32" s="76"/>
      <c r="I32" s="76"/>
      <c r="J32" s="76"/>
      <c r="K32" s="76"/>
      <c r="L32" s="76"/>
      <c r="M32" s="76"/>
      <c r="N32" s="76"/>
      <c r="O32" s="76"/>
      <c r="P32" s="76"/>
      <c r="Q32" s="76"/>
      <c r="R32" s="76"/>
      <c r="S32" s="76"/>
    </row>
    <row r="33" ht="12" customHeight="1"/>
    <row r="34" ht="12" customHeight="1"/>
    <row r="35" ht="12" customHeight="1"/>
    <row r="36" ht="12" customHeight="1"/>
    <row r="37" ht="12" customHeight="1"/>
    <row r="38" ht="12" customHeight="1"/>
    <row r="39" ht="12" customHeight="1"/>
    <row r="40" ht="12" customHeight="1"/>
    <row r="41" ht="12" customHeight="1"/>
    <row r="42" ht="12" customHeight="1"/>
    <row r="43" ht="12" customHeight="1"/>
    <row r="44" ht="12" customHeight="1"/>
    <row r="45" ht="12" customHeight="1"/>
    <row r="46" ht="12" customHeight="1"/>
    <row r="47" ht="12" customHeight="1"/>
    <row r="48" ht="12" customHeight="1"/>
    <row r="49" ht="12" customHeight="1"/>
    <row r="50" ht="12" customHeight="1"/>
    <row r="51" ht="12" customHeight="1"/>
    <row r="52" ht="12" customHeight="1"/>
    <row r="53" ht="12" customHeight="1"/>
    <row r="54" ht="12" customHeight="1"/>
  </sheetData>
  <phoneticPr fontId="199" type="noConversion"/>
  <printOptions horizontalCentered="1"/>
  <pageMargins left="0.39370078740157483" right="0.39370078740157483" top="0.56999999999999995" bottom="0.35433070866141736" header="0.23622047244094491" footer="0.19685039370078741"/>
  <pageSetup scale="65" orientation="portrait" r:id="rId1"/>
  <headerFooter alignWithMargins="0">
    <oddFooter>&amp;R&amp;8&amp;F  &amp;A
&amp;D</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Planilha4">
    <pageSetUpPr fitToPage="1"/>
  </sheetPr>
  <dimension ref="B1:Y190"/>
  <sheetViews>
    <sheetView showGridLines="0" zoomScale="110" zoomScaleNormal="110" workbookViewId="0">
      <pane ySplit="6" topLeftCell="A7" activePane="bottomLeft" state="frozen"/>
      <selection activeCell="H123" sqref="H123"/>
      <selection pane="bottomLeft" activeCell="L11" sqref="L11"/>
    </sheetView>
  </sheetViews>
  <sheetFormatPr defaultColWidth="0" defaultRowHeight="11.25"/>
  <cols>
    <col min="1" max="1" width="2.42578125" style="3" customWidth="1"/>
    <col min="2" max="2" width="25.28515625" style="3" customWidth="1"/>
    <col min="3" max="3" width="2" style="4" customWidth="1"/>
    <col min="4" max="4" width="12.85546875" style="3" bestFit="1" customWidth="1"/>
    <col min="5" max="5" width="13.28515625" style="3" bestFit="1" customWidth="1"/>
    <col min="6" max="6" width="10.85546875" style="3" bestFit="1" customWidth="1"/>
    <col min="7" max="9" width="13.28515625" style="3" bestFit="1" customWidth="1"/>
    <col min="10" max="10" width="10.85546875" style="3" bestFit="1" customWidth="1"/>
    <col min="11" max="18" width="13.28515625" style="3" bestFit="1" customWidth="1"/>
    <col min="19" max="19" width="3.28515625" style="3" customWidth="1"/>
    <col min="20" max="24" width="2" style="3" hidden="1" customWidth="1"/>
    <col min="25" max="25" width="15" style="3" hidden="1" customWidth="1"/>
    <col min="26" max="16384" width="0" style="3" hidden="1"/>
  </cols>
  <sheetData>
    <row r="1" spans="2:25" customFormat="1" ht="21.75" customHeight="1">
      <c r="B1" s="152" t="s">
        <v>2</v>
      </c>
      <c r="C1" s="25"/>
      <c r="D1" s="23"/>
      <c r="E1" s="23"/>
      <c r="F1" s="23"/>
      <c r="G1" s="23"/>
      <c r="H1" s="23"/>
      <c r="I1" s="23"/>
      <c r="J1" s="23"/>
      <c r="K1" s="23"/>
      <c r="L1" s="23"/>
      <c r="M1" s="23"/>
      <c r="N1" s="23"/>
      <c r="O1" s="23"/>
      <c r="P1" s="23"/>
      <c r="Q1" s="23"/>
      <c r="R1" s="23"/>
    </row>
    <row r="2" spans="2:25" customFormat="1" ht="16.5" customHeight="1" thickBot="1">
      <c r="B2" s="153" t="s">
        <v>358</v>
      </c>
      <c r="C2" s="24"/>
      <c r="D2" s="24"/>
      <c r="E2" s="24"/>
      <c r="F2" s="24"/>
      <c r="G2" s="24"/>
      <c r="H2" s="24"/>
      <c r="I2" s="24"/>
      <c r="J2" s="24"/>
      <c r="K2" s="24"/>
      <c r="L2" s="24"/>
      <c r="M2" s="24"/>
      <c r="N2" s="24"/>
      <c r="O2" s="24"/>
      <c r="P2" s="24"/>
      <c r="Q2" s="24"/>
      <c r="R2" s="24"/>
    </row>
    <row r="3" spans="2:25" customFormat="1" ht="24" customHeight="1">
      <c r="B3" s="22"/>
      <c r="C3" s="22"/>
      <c r="D3" s="22"/>
      <c r="E3" s="22"/>
      <c r="F3" s="22"/>
      <c r="G3" s="22"/>
      <c r="H3" s="22"/>
      <c r="I3" s="22"/>
      <c r="J3" s="22"/>
      <c r="K3" s="22"/>
      <c r="L3" s="22"/>
      <c r="M3" s="22"/>
      <c r="N3" s="22"/>
      <c r="O3" s="22"/>
      <c r="P3" s="22"/>
      <c r="Q3" s="22"/>
      <c r="R3" s="22"/>
    </row>
    <row r="4" spans="2:25" customFormat="1" ht="3" customHeight="1">
      <c r="B4" s="1"/>
      <c r="C4" s="1"/>
      <c r="D4" s="1"/>
      <c r="E4" s="1"/>
      <c r="F4" s="1"/>
      <c r="G4" s="1"/>
      <c r="H4" s="1"/>
      <c r="I4" s="1"/>
      <c r="J4" s="1"/>
      <c r="K4" s="1"/>
      <c r="L4" s="1"/>
      <c r="M4" s="1"/>
      <c r="N4" s="1"/>
      <c r="O4" s="1"/>
      <c r="P4" s="1"/>
      <c r="Q4" s="1"/>
      <c r="R4" s="1"/>
    </row>
    <row r="5" spans="2:25" customFormat="1" ht="3" customHeight="1">
      <c r="B5" s="1"/>
      <c r="C5" s="1"/>
      <c r="D5" s="150"/>
      <c r="E5" s="150"/>
      <c r="F5" s="150"/>
      <c r="G5" s="150"/>
      <c r="H5" s="150"/>
      <c r="I5" s="150"/>
      <c r="J5" s="150"/>
      <c r="K5" s="150"/>
      <c r="L5" s="150"/>
      <c r="M5" s="150"/>
      <c r="N5" s="150"/>
      <c r="O5" s="150"/>
      <c r="P5" s="150"/>
      <c r="Q5" s="150"/>
      <c r="R5" s="150"/>
    </row>
    <row r="6" spans="2:25" customFormat="1" ht="12.75">
      <c r="B6" s="15" t="s">
        <v>1</v>
      </c>
      <c r="C6" s="16"/>
      <c r="D6" s="269" t="s">
        <v>13</v>
      </c>
      <c r="E6" s="269" t="s">
        <v>14</v>
      </c>
      <c r="F6" s="269" t="s">
        <v>15</v>
      </c>
      <c r="G6" s="269" t="s">
        <v>16</v>
      </c>
      <c r="H6" s="269" t="s">
        <v>17</v>
      </c>
      <c r="I6" s="269" t="s">
        <v>18</v>
      </c>
      <c r="J6" s="269" t="s">
        <v>19</v>
      </c>
      <c r="K6" s="269" t="s">
        <v>20</v>
      </c>
      <c r="L6" s="269" t="s">
        <v>40</v>
      </c>
      <c r="M6" s="269" t="s">
        <v>41</v>
      </c>
      <c r="N6" s="269" t="s">
        <v>42</v>
      </c>
      <c r="O6" s="269" t="s">
        <v>71</v>
      </c>
      <c r="P6" s="269" t="s">
        <v>72</v>
      </c>
      <c r="Q6" s="269" t="s">
        <v>73</v>
      </c>
      <c r="R6" s="269" t="s">
        <v>74</v>
      </c>
    </row>
    <row r="7" spans="2:25" customFormat="1" ht="12.75">
      <c r="B7" s="15"/>
      <c r="C7" s="16"/>
      <c r="D7" s="279" t="s">
        <v>3</v>
      </c>
      <c r="E7" s="279" t="s">
        <v>3</v>
      </c>
      <c r="F7" s="279" t="s">
        <v>3</v>
      </c>
      <c r="G7" s="279" t="s">
        <v>3</v>
      </c>
      <c r="H7" s="279" t="s">
        <v>3</v>
      </c>
      <c r="I7" s="279" t="s">
        <v>4</v>
      </c>
      <c r="J7" s="279" t="s">
        <v>4</v>
      </c>
      <c r="K7" s="279" t="s">
        <v>4</v>
      </c>
      <c r="L7" s="279" t="s">
        <v>4</v>
      </c>
      <c r="M7" s="279" t="s">
        <v>4</v>
      </c>
      <c r="N7" s="279" t="s">
        <v>4</v>
      </c>
      <c r="O7" s="279" t="s">
        <v>4</v>
      </c>
      <c r="P7" s="279" t="s">
        <v>4</v>
      </c>
      <c r="Q7" s="279" t="s">
        <v>4</v>
      </c>
      <c r="R7" s="279" t="s">
        <v>4</v>
      </c>
      <c r="S7" s="57"/>
      <c r="T7" s="57"/>
      <c r="U7" s="57"/>
      <c r="V7" s="57"/>
      <c r="W7" s="57"/>
      <c r="X7" s="3"/>
      <c r="Y7" s="3"/>
    </row>
    <row r="8" spans="2:25" customFormat="1" ht="12.75" hidden="1">
      <c r="B8" s="85" t="s">
        <v>6</v>
      </c>
      <c r="C8" s="4"/>
      <c r="D8" s="86">
        <f>Assumptions!F159</f>
        <v>0</v>
      </c>
      <c r="E8" s="86">
        <f>Assumptions!G159</f>
        <v>0</v>
      </c>
      <c r="F8" s="86">
        <f>Assumptions!H159</f>
        <v>0</v>
      </c>
      <c r="G8" s="86">
        <v>0</v>
      </c>
      <c r="H8" s="86">
        <f>Assumptions!J159</f>
        <v>0</v>
      </c>
      <c r="I8" s="86">
        <f>Assumptions!K159</f>
        <v>0</v>
      </c>
      <c r="J8" s="86">
        <f>Assumptions!L159</f>
        <v>0</v>
      </c>
      <c r="K8" s="86">
        <f>Assumptions!M159</f>
        <v>0</v>
      </c>
      <c r="L8" s="86">
        <f>Assumptions!N159</f>
        <v>0</v>
      </c>
      <c r="M8" s="86">
        <f>Assumptions!O159</f>
        <v>0</v>
      </c>
      <c r="N8" s="86">
        <f>Assumptions!P159</f>
        <v>0</v>
      </c>
      <c r="O8" s="86">
        <f>Assumptions!Q159</f>
        <v>0</v>
      </c>
      <c r="P8" s="86">
        <f>Assumptions!R159</f>
        <v>0</v>
      </c>
      <c r="Q8" s="86">
        <f>Assumptions!S159</f>
        <v>0</v>
      </c>
      <c r="R8" s="86">
        <f>Assumptions!T159</f>
        <v>0</v>
      </c>
    </row>
    <row r="9" spans="2:25">
      <c r="B9" s="79" t="s">
        <v>89</v>
      </c>
      <c r="D9" s="74"/>
      <c r="E9" s="74"/>
      <c r="F9" s="84"/>
      <c r="G9" s="275"/>
      <c r="H9" s="275"/>
      <c r="I9" s="74"/>
      <c r="J9" s="74"/>
      <c r="K9" s="74"/>
      <c r="L9" s="74"/>
      <c r="M9" s="74"/>
      <c r="N9" s="74"/>
      <c r="O9" s="74"/>
      <c r="P9" s="74"/>
      <c r="Q9" s="74"/>
      <c r="R9" s="74"/>
    </row>
    <row r="10" spans="2:25">
      <c r="B10" s="80"/>
      <c r="D10" s="91"/>
      <c r="E10" s="91"/>
      <c r="F10" s="84"/>
      <c r="G10" s="91"/>
      <c r="H10" s="81"/>
      <c r="I10" s="81"/>
      <c r="J10" s="81"/>
      <c r="K10" s="81"/>
      <c r="L10" s="81"/>
      <c r="M10" s="81"/>
      <c r="N10" s="81"/>
      <c r="O10" s="81"/>
      <c r="P10" s="81"/>
      <c r="Q10" s="81"/>
      <c r="R10" s="81"/>
    </row>
    <row r="11" spans="2:25">
      <c r="B11" s="280" t="s">
        <v>216</v>
      </c>
      <c r="D11" s="84">
        <f>Assumptions!F144</f>
        <v>1985</v>
      </c>
      <c r="E11" s="84">
        <f>Assumptions!G144</f>
        <v>2008</v>
      </c>
      <c r="F11" s="84">
        <f>Assumptions!H144</f>
        <v>2206</v>
      </c>
      <c r="G11" s="84">
        <f>Assumptions!I144</f>
        <v>2229</v>
      </c>
      <c r="H11" s="298">
        <f>((Assumptions!J144*Assumptions!J152)+(Assumptions!J144*Assumptions!J152*Assumptions!J154))+((Assumptions!J144*Assumptions!J153)+(Assumptions!J144*Assumptions!J153*Assumptions!J155))</f>
        <v>2218.3567223999999</v>
      </c>
      <c r="I11" s="298">
        <f>((Assumptions!K144*Assumptions!K152)+(Assumptions!K144*Assumptions!K152*Assumptions!K154))+((Assumptions!K144*Assumptions!K153)+(Assumptions!K144*Assumptions!K153*Assumptions!K155))</f>
        <v>2513.6938380000001</v>
      </c>
      <c r="J11" s="298">
        <f>((Assumptions!L144*Assumptions!L152)+(Assumptions!L144*Assumptions!L152*Assumptions!L154))+((Assumptions!L144*Assumptions!L153)+(Assumptions!L144*Assumptions!L153*Assumptions!L155))</f>
        <v>3072.2025699000001</v>
      </c>
      <c r="K11" s="298">
        <f>((Assumptions!M144*Assumptions!M152)+(Assumptions!M144*Assumptions!M152*Assumptions!M154))+((Assumptions!M144*Assumptions!M153)+(Assumptions!M144*Assumptions!M153*Assumptions!M155))</f>
        <v>3684.159567703</v>
      </c>
      <c r="L11" s="298">
        <f>((Assumptions!N144*Assumptions!N152)+(Assumptions!N144*Assumptions!N152*Assumptions!N154))+((Assumptions!N144*Assumptions!N153)+(Assumptions!N144*Assumptions!N153*Assumptions!N155))</f>
        <v>4304.3152250969997</v>
      </c>
      <c r="M11" s="298">
        <f>((Assumptions!O144*Assumptions!O152)+(Assumptions!O144*Assumptions!O152*Assumptions!O154))+((Assumptions!O144*Assumptions!O153)+(Assumptions!O144*Assumptions!O153*Assumptions!O155))</f>
        <v>0</v>
      </c>
      <c r="N11" s="298">
        <f>((Assumptions!P144*Assumptions!P152)+(Assumptions!P144*Assumptions!P152*Assumptions!P154))+((Assumptions!P144*Assumptions!P153)+(Assumptions!P144*Assumptions!P153*Assumptions!P155))</f>
        <v>0</v>
      </c>
      <c r="O11" s="298">
        <f>((Assumptions!Q144*Assumptions!Q152)+(Assumptions!Q144*Assumptions!Q152*Assumptions!Q154))+((Assumptions!Q144*Assumptions!Q153)+(Assumptions!Q144*Assumptions!Q153*Assumptions!Q155))</f>
        <v>0</v>
      </c>
      <c r="P11" s="298">
        <f>((Assumptions!R144*Assumptions!R152)+(Assumptions!R144*Assumptions!R152*Assumptions!R154))+((Assumptions!R144*Assumptions!R153)+(Assumptions!R144*Assumptions!R153*Assumptions!R155))</f>
        <v>0</v>
      </c>
      <c r="Q11" s="298">
        <f>((Assumptions!S144*Assumptions!S152)+(Assumptions!S144*Assumptions!S152*Assumptions!S154))+((Assumptions!S144*Assumptions!S153)+(Assumptions!S144*Assumptions!S153*Assumptions!S155))</f>
        <v>0</v>
      </c>
      <c r="R11" s="298">
        <f>((Assumptions!T144*Assumptions!T152)+(Assumptions!T144*Assumptions!T152*Assumptions!T154))+((Assumptions!T144*Assumptions!T153)+(Assumptions!T144*Assumptions!T153*Assumptions!T155))</f>
        <v>0</v>
      </c>
    </row>
    <row r="12" spans="2:25" hidden="1">
      <c r="B12" s="82" t="s">
        <v>7</v>
      </c>
      <c r="C12" s="35"/>
      <c r="D12" s="83">
        <f t="shared" ref="D12:M12" si="0">D11*D8+D11</f>
        <v>1985</v>
      </c>
      <c r="E12" s="83">
        <f t="shared" si="0"/>
        <v>2008</v>
      </c>
      <c r="F12" s="83">
        <f t="shared" si="0"/>
        <v>2206</v>
      </c>
      <c r="G12" s="83">
        <f t="shared" si="0"/>
        <v>2229</v>
      </c>
      <c r="H12" s="83">
        <f>H11*H8+H11</f>
        <v>2218.3567223999999</v>
      </c>
      <c r="I12" s="83">
        <f t="shared" si="0"/>
        <v>2513.6938380000001</v>
      </c>
      <c r="J12" s="83">
        <f t="shared" si="0"/>
        <v>3072.2025699000001</v>
      </c>
      <c r="K12" s="83">
        <f t="shared" si="0"/>
        <v>3684.159567703</v>
      </c>
      <c r="L12" s="83">
        <f t="shared" si="0"/>
        <v>4304.3152250969997</v>
      </c>
      <c r="M12" s="83">
        <f t="shared" si="0"/>
        <v>0</v>
      </c>
      <c r="N12" s="83">
        <f>N11*N8+N11</f>
        <v>0</v>
      </c>
      <c r="O12" s="83">
        <f>O11*O8+O11</f>
        <v>0</v>
      </c>
      <c r="P12" s="83">
        <f>P11*P8+P11</f>
        <v>0</v>
      </c>
      <c r="Q12" s="83">
        <f>Q11*Q8+Q11</f>
        <v>0</v>
      </c>
      <c r="R12" s="83">
        <f>R11*R8+R11</f>
        <v>0</v>
      </c>
    </row>
    <row r="13" spans="2:25">
      <c r="B13" s="75"/>
      <c r="D13" s="519"/>
      <c r="E13" s="75"/>
      <c r="F13" s="75"/>
      <c r="G13" s="75"/>
      <c r="H13" s="75"/>
      <c r="I13" s="75"/>
      <c r="J13" s="75"/>
      <c r="K13" s="75"/>
      <c r="L13" s="75"/>
      <c r="M13" s="75"/>
      <c r="N13" s="75"/>
      <c r="O13" s="75"/>
      <c r="P13" s="75"/>
      <c r="Q13" s="75"/>
      <c r="R13" s="75"/>
    </row>
    <row r="14" spans="2:25" hidden="1">
      <c r="B14" s="85" t="s">
        <v>6</v>
      </c>
      <c r="D14" s="86">
        <f t="shared" ref="D14:M14" si="1">D8</f>
        <v>0</v>
      </c>
      <c r="E14" s="86">
        <f t="shared" si="1"/>
        <v>0</v>
      </c>
      <c r="F14" s="86">
        <f t="shared" si="1"/>
        <v>0</v>
      </c>
      <c r="G14" s="86">
        <f t="shared" si="1"/>
        <v>0</v>
      </c>
      <c r="H14" s="86">
        <f t="shared" si="1"/>
        <v>0</v>
      </c>
      <c r="I14" s="86">
        <f t="shared" si="1"/>
        <v>0</v>
      </c>
      <c r="J14" s="86">
        <f t="shared" si="1"/>
        <v>0</v>
      </c>
      <c r="K14" s="86">
        <f t="shared" si="1"/>
        <v>0</v>
      </c>
      <c r="L14" s="86">
        <f t="shared" si="1"/>
        <v>0</v>
      </c>
      <c r="M14" s="86">
        <f t="shared" si="1"/>
        <v>0</v>
      </c>
      <c r="N14" s="86">
        <f>N8</f>
        <v>0</v>
      </c>
      <c r="O14" s="86">
        <f>O8</f>
        <v>0</v>
      </c>
      <c r="P14" s="86">
        <f>P8</f>
        <v>0</v>
      </c>
      <c r="Q14" s="86">
        <f>Q8</f>
        <v>0</v>
      </c>
      <c r="R14" s="86">
        <f>R8</f>
        <v>0</v>
      </c>
    </row>
    <row r="15" spans="2:25">
      <c r="B15" s="87"/>
      <c r="D15" s="88"/>
      <c r="E15" s="88"/>
      <c r="F15" s="88"/>
      <c r="G15" s="88"/>
      <c r="H15" s="88"/>
      <c r="I15" s="89"/>
      <c r="J15" s="89"/>
      <c r="K15" s="89"/>
      <c r="L15" s="89"/>
      <c r="M15" s="89"/>
      <c r="N15" s="89"/>
      <c r="O15" s="89"/>
      <c r="P15" s="89"/>
      <c r="Q15" s="89"/>
      <c r="R15" s="89"/>
    </row>
    <row r="16" spans="2:25">
      <c r="B16" s="79" t="s">
        <v>90</v>
      </c>
      <c r="D16" s="78"/>
      <c r="E16" s="78"/>
      <c r="F16" s="78"/>
      <c r="G16" s="78"/>
      <c r="H16" s="78"/>
      <c r="I16" s="78"/>
      <c r="J16" s="78"/>
      <c r="K16" s="78"/>
      <c r="L16" s="78"/>
      <c r="M16" s="78"/>
      <c r="N16" s="78"/>
      <c r="O16" s="78"/>
      <c r="P16" s="78"/>
      <c r="Q16" s="78"/>
      <c r="R16" s="78"/>
    </row>
    <row r="17" spans="2:18">
      <c r="B17" s="80"/>
      <c r="D17" s="91"/>
      <c r="E17" s="91"/>
      <c r="F17" s="91"/>
      <c r="G17" s="91"/>
      <c r="H17" s="81"/>
      <c r="I17" s="81"/>
      <c r="J17" s="81"/>
      <c r="K17" s="81"/>
      <c r="L17" s="81"/>
      <c r="M17" s="81"/>
      <c r="N17" s="81"/>
      <c r="O17" s="81"/>
      <c r="P17" s="81"/>
      <c r="Q17" s="81"/>
      <c r="R17" s="81"/>
    </row>
    <row r="18" spans="2:18">
      <c r="B18" s="280" t="s">
        <v>216</v>
      </c>
      <c r="C18" s="30"/>
      <c r="D18" s="84">
        <f t="shared" ref="D18:M18" si="2">(D26*D24+D33*D31)/(D24+D31)</f>
        <v>5554.2894753699311</v>
      </c>
      <c r="E18" s="84">
        <f t="shared" si="2"/>
        <v>6071.9737018323494</v>
      </c>
      <c r="F18" s="84">
        <f t="shared" si="2"/>
        <v>6846.182472218059</v>
      </c>
      <c r="G18" s="84">
        <f t="shared" si="2"/>
        <v>6713.4757666503319</v>
      </c>
      <c r="H18" s="84">
        <f t="shared" si="2"/>
        <v>6260.6375921636454</v>
      </c>
      <c r="I18" s="84">
        <f t="shared" si="2"/>
        <v>7698.264788039296</v>
      </c>
      <c r="J18" s="84">
        <f t="shared" si="2"/>
        <v>9081.1811248508056</v>
      </c>
      <c r="K18" s="84">
        <f t="shared" si="2"/>
        <v>11146.419349637894</v>
      </c>
      <c r="L18" s="84">
        <f t="shared" si="2"/>
        <v>12233.081531268554</v>
      </c>
      <c r="M18" s="84" t="e">
        <f t="shared" si="2"/>
        <v>#DIV/0!</v>
      </c>
      <c r="N18" s="84" t="e">
        <f>(N26*N24+N33*N31)/(N24+N31)</f>
        <v>#DIV/0!</v>
      </c>
      <c r="O18" s="84" t="e">
        <f>(O26*O24+O33*O31)/(O24+O31)</f>
        <v>#DIV/0!</v>
      </c>
      <c r="P18" s="84" t="e">
        <f>(P26*P24+P33*P31)/(P24+P31)</f>
        <v>#DIV/0!</v>
      </c>
      <c r="Q18" s="84" t="e">
        <f>(Q26*Q24+Q33*Q31)/(Q24+Q31)</f>
        <v>#DIV/0!</v>
      </c>
      <c r="R18" s="84" t="e">
        <f>(R26*R24+R33*R31)/(R24+R31)</f>
        <v>#DIV/0!</v>
      </c>
    </row>
    <row r="19" spans="2:18" hidden="1">
      <c r="B19" s="82" t="s">
        <v>7</v>
      </c>
      <c r="D19" s="83">
        <f t="shared" ref="D19:J19" si="3">D18*D14+D18</f>
        <v>5554.2894753699311</v>
      </c>
      <c r="E19" s="83">
        <f t="shared" si="3"/>
        <v>6071.9737018323494</v>
      </c>
      <c r="F19" s="83">
        <f t="shared" si="3"/>
        <v>6846.182472218059</v>
      </c>
      <c r="G19" s="83">
        <f t="shared" si="3"/>
        <v>6713.4757666503319</v>
      </c>
      <c r="H19" s="83">
        <f>H18*H14+H18</f>
        <v>6260.6375921636454</v>
      </c>
      <c r="I19" s="83">
        <f t="shared" si="3"/>
        <v>7698.264788039296</v>
      </c>
      <c r="J19" s="83">
        <f t="shared" si="3"/>
        <v>9081.1811248508056</v>
      </c>
      <c r="K19" s="83">
        <f t="shared" ref="K19:R19" si="4">K18*K14+K18</f>
        <v>11146.419349637894</v>
      </c>
      <c r="L19" s="83">
        <f t="shared" si="4"/>
        <v>12233.081531268554</v>
      </c>
      <c r="M19" s="83" t="e">
        <f t="shared" si="4"/>
        <v>#DIV/0!</v>
      </c>
      <c r="N19" s="83" t="e">
        <f t="shared" si="4"/>
        <v>#DIV/0!</v>
      </c>
      <c r="O19" s="83" t="e">
        <f t="shared" si="4"/>
        <v>#DIV/0!</v>
      </c>
      <c r="P19" s="83" t="e">
        <f t="shared" si="4"/>
        <v>#DIV/0!</v>
      </c>
      <c r="Q19" s="83" t="e">
        <f t="shared" si="4"/>
        <v>#DIV/0!</v>
      </c>
      <c r="R19" s="83" t="e">
        <f t="shared" si="4"/>
        <v>#DIV/0!</v>
      </c>
    </row>
    <row r="20" spans="2:18">
      <c r="B20" s="75"/>
      <c r="D20" s="519"/>
      <c r="E20" s="75"/>
      <c r="F20" s="75"/>
      <c r="G20" s="75"/>
      <c r="H20" s="75"/>
      <c r="I20" s="75"/>
      <c r="J20" s="75"/>
      <c r="K20" s="75"/>
      <c r="L20" s="75"/>
      <c r="M20" s="75"/>
      <c r="N20" s="75"/>
      <c r="O20" s="75"/>
      <c r="P20" s="75"/>
      <c r="Q20" s="75"/>
      <c r="R20" s="75"/>
    </row>
    <row r="21" spans="2:18">
      <c r="B21" s="76"/>
      <c r="D21" s="77"/>
      <c r="E21" s="76"/>
      <c r="F21" s="76"/>
      <c r="G21" s="76"/>
      <c r="H21" s="76"/>
      <c r="I21" s="76"/>
      <c r="J21" s="76"/>
      <c r="K21" s="76"/>
      <c r="L21" s="76"/>
      <c r="M21" s="76"/>
      <c r="N21" s="76"/>
      <c r="O21" s="76"/>
      <c r="P21" s="76"/>
      <c r="Q21" s="76"/>
      <c r="R21" s="76"/>
    </row>
    <row r="22" spans="2:18">
      <c r="B22" s="79" t="s">
        <v>217</v>
      </c>
      <c r="D22" s="76"/>
      <c r="E22" s="76"/>
      <c r="F22" s="76"/>
      <c r="G22" s="76"/>
      <c r="H22" s="76"/>
      <c r="I22" s="76"/>
      <c r="J22" s="76"/>
      <c r="K22" s="76"/>
      <c r="L22" s="76"/>
      <c r="M22" s="76"/>
      <c r="N22" s="76"/>
      <c r="O22" s="76"/>
      <c r="P22" s="76"/>
      <c r="Q22" s="76"/>
      <c r="R22" s="76"/>
    </row>
    <row r="23" spans="2:18">
      <c r="B23" s="79" t="s">
        <v>218</v>
      </c>
      <c r="D23" s="78"/>
      <c r="E23" s="78"/>
      <c r="F23" s="78"/>
      <c r="G23" s="78"/>
      <c r="H23" s="78"/>
      <c r="I23" s="78"/>
      <c r="J23" s="78"/>
      <c r="K23" s="78"/>
      <c r="L23" s="78"/>
      <c r="M23" s="78"/>
      <c r="N23" s="78"/>
      <c r="O23" s="78"/>
      <c r="P23" s="78"/>
      <c r="Q23" s="78"/>
      <c r="R23" s="78"/>
    </row>
    <row r="24" spans="2:18">
      <c r="B24" s="90" t="s">
        <v>8</v>
      </c>
      <c r="D24" s="83">
        <f>Assumptions!F12</f>
        <v>81019</v>
      </c>
      <c r="E24" s="83">
        <f>Assumptions!G12</f>
        <v>83680</v>
      </c>
      <c r="F24" s="83">
        <f>Assumptions!H12</f>
        <v>74404</v>
      </c>
      <c r="G24" s="83">
        <f>Assumptions!I12</f>
        <v>58886.15</v>
      </c>
      <c r="H24" s="83">
        <f>Assumptions!J12</f>
        <v>57832.02</v>
      </c>
      <c r="I24" s="83">
        <f>Assumptions!K12</f>
        <v>72852</v>
      </c>
      <c r="J24" s="83">
        <f>Assumptions!L12</f>
        <v>74054</v>
      </c>
      <c r="K24" s="83">
        <f>Assumptions!M12</f>
        <v>78010.849999999991</v>
      </c>
      <c r="L24" s="83">
        <f>Assumptions!N12</f>
        <v>86021</v>
      </c>
      <c r="M24" s="83">
        <f>Assumptions!O12</f>
        <v>0</v>
      </c>
      <c r="N24" s="83">
        <f>Assumptions!P12</f>
        <v>0</v>
      </c>
      <c r="O24" s="83">
        <f>Assumptions!Q12</f>
        <v>0</v>
      </c>
      <c r="P24" s="83">
        <f>Assumptions!R12</f>
        <v>0</v>
      </c>
      <c r="Q24" s="83">
        <f>Assumptions!S12</f>
        <v>0</v>
      </c>
      <c r="R24" s="83">
        <f>Assumptions!T12</f>
        <v>0</v>
      </c>
    </row>
    <row r="25" spans="2:18">
      <c r="B25" s="90"/>
      <c r="D25" s="83"/>
      <c r="E25" s="91"/>
      <c r="F25" s="91"/>
      <c r="G25" s="91"/>
      <c r="H25" s="81"/>
      <c r="I25" s="81"/>
      <c r="J25" s="81"/>
      <c r="K25" s="81"/>
      <c r="L25" s="81"/>
      <c r="M25" s="81"/>
      <c r="N25" s="81"/>
      <c r="O25" s="81"/>
      <c r="P25" s="81"/>
      <c r="Q25" s="81"/>
      <c r="R25" s="81"/>
    </row>
    <row r="26" spans="2:18">
      <c r="B26" s="280" t="s">
        <v>216</v>
      </c>
      <c r="D26" s="84">
        <f>Assumptions!F148</f>
        <v>5739</v>
      </c>
      <c r="E26" s="84">
        <f>Assumptions!G148</f>
        <v>6274</v>
      </c>
      <c r="F26" s="84">
        <f>Assumptions!H148</f>
        <v>7096</v>
      </c>
      <c r="G26" s="84">
        <f>Assumptions!I148</f>
        <v>7138</v>
      </c>
      <c r="H26" s="298">
        <f>((Assumptions!J148*Assumptions!J152)+(Assumptions!J148*Assumptions!J152*Assumptions!J154))+((Assumptions!J148*Assumptions!J153)+(Assumptions!J148*Assumptions!J153*Assumptions!J155))</f>
        <v>6484.4273424000003</v>
      </c>
      <c r="I26" s="298">
        <f>((Assumptions!K148*Assumptions!K152)+(Assumptions!K148*Assumptions!K152*Assumptions!K154))+((Assumptions!K148*Assumptions!K153)+(Assumptions!K148*Assumptions!K153*Assumptions!K155))</f>
        <v>8065.404043999999</v>
      </c>
      <c r="J26" s="298">
        <f>((Assumptions!L148*Assumptions!L152)+(Assumptions!L148*Assumptions!L152*Assumptions!L154))+((Assumptions!L148*Assumptions!L153)+(Assumptions!L148*Assumptions!L153*Assumptions!L155))</f>
        <v>9539.6220429200002</v>
      </c>
      <c r="K26" s="298">
        <f>((Assumptions!M148*Assumptions!M152)+(Assumptions!M148*Assumptions!M152*Assumptions!M154))+((Assumptions!M148*Assumptions!M153)+(Assumptions!M148*Assumptions!M153*Assumptions!M155))</f>
        <v>11453.362033796999</v>
      </c>
      <c r="L26" s="298">
        <f>((Assumptions!N148*Assumptions!N152)+(Assumptions!N148*Assumptions!N152*Assumptions!N154))+((Assumptions!N148*Assumptions!N153)+(Assumptions!N148*Assumptions!N153*Assumptions!N155))</f>
        <v>13189.063693846001</v>
      </c>
      <c r="M26" s="298">
        <f>((Assumptions!O148*Assumptions!O152)+(Assumptions!O148*Assumptions!O152*Assumptions!O154))+((Assumptions!O148*Assumptions!O153)+(Assumptions!O148*Assumptions!O153*Assumptions!O155))</f>
        <v>0</v>
      </c>
      <c r="N26" s="298">
        <f>((Assumptions!P148*Assumptions!P152)+(Assumptions!P148*Assumptions!P152*Assumptions!P154))+((Assumptions!P148*Assumptions!P153)+(Assumptions!P148*Assumptions!P153*Assumptions!P155))</f>
        <v>0</v>
      </c>
      <c r="O26" s="298">
        <f>((Assumptions!Q148*Assumptions!Q152)+(Assumptions!Q148*Assumptions!Q152*Assumptions!Q154))+((Assumptions!Q148*Assumptions!Q153)+(Assumptions!Q148*Assumptions!Q153*Assumptions!Q155))</f>
        <v>0</v>
      </c>
      <c r="P26" s="298">
        <f>((Assumptions!R148*Assumptions!R152)+(Assumptions!R148*Assumptions!R152*Assumptions!R154))+((Assumptions!R148*Assumptions!R153)+(Assumptions!R148*Assumptions!R153*Assumptions!R155))</f>
        <v>0</v>
      </c>
      <c r="Q26" s="298">
        <f>((Assumptions!S148*Assumptions!S152)+(Assumptions!S148*Assumptions!S152*Assumptions!S154))+((Assumptions!S148*Assumptions!S153)+(Assumptions!S148*Assumptions!S153*Assumptions!S155))</f>
        <v>0</v>
      </c>
      <c r="R26" s="298">
        <f>((Assumptions!T148*Assumptions!T152)+(Assumptions!T148*Assumptions!T152*Assumptions!T154))+((Assumptions!T148*Assumptions!T153)+(Assumptions!T148*Assumptions!T153*Assumptions!T155))</f>
        <v>0</v>
      </c>
    </row>
    <row r="27" spans="2:18" hidden="1">
      <c r="B27" s="82" t="s">
        <v>7</v>
      </c>
      <c r="D27" s="83">
        <f>D26*D14+D26</f>
        <v>5739</v>
      </c>
      <c r="E27" s="83">
        <f t="shared" ref="E27:R27" si="5">E26*E14+E26</f>
        <v>6274</v>
      </c>
      <c r="F27" s="83">
        <f t="shared" si="5"/>
        <v>7096</v>
      </c>
      <c r="G27" s="83">
        <f t="shared" si="5"/>
        <v>7138</v>
      </c>
      <c r="H27" s="83">
        <f t="shared" si="5"/>
        <v>6484.4273424000003</v>
      </c>
      <c r="I27" s="83">
        <f t="shared" si="5"/>
        <v>8065.404043999999</v>
      </c>
      <c r="J27" s="83">
        <f t="shared" si="5"/>
        <v>9539.6220429200002</v>
      </c>
      <c r="K27" s="83">
        <f t="shared" si="5"/>
        <v>11453.362033796999</v>
      </c>
      <c r="L27" s="83">
        <f t="shared" si="5"/>
        <v>13189.063693846001</v>
      </c>
      <c r="M27" s="83">
        <f t="shared" si="5"/>
        <v>0</v>
      </c>
      <c r="N27" s="83">
        <f t="shared" si="5"/>
        <v>0</v>
      </c>
      <c r="O27" s="83">
        <f t="shared" si="5"/>
        <v>0</v>
      </c>
      <c r="P27" s="83">
        <f t="shared" si="5"/>
        <v>0</v>
      </c>
      <c r="Q27" s="83">
        <f t="shared" si="5"/>
        <v>0</v>
      </c>
      <c r="R27" s="83">
        <f t="shared" si="5"/>
        <v>0</v>
      </c>
    </row>
    <row r="28" spans="2:18">
      <c r="B28" s="75"/>
      <c r="D28" s="75"/>
      <c r="E28" s="75"/>
      <c r="F28" s="75"/>
      <c r="G28" s="75"/>
      <c r="H28" s="75"/>
      <c r="I28" s="75"/>
      <c r="J28" s="75"/>
      <c r="K28" s="75"/>
      <c r="L28" s="75"/>
      <c r="M28" s="75"/>
      <c r="N28" s="75"/>
      <c r="O28" s="75"/>
      <c r="P28" s="75"/>
      <c r="Q28" s="75"/>
      <c r="R28" s="75"/>
    </row>
    <row r="29" spans="2:18">
      <c r="B29" s="76"/>
      <c r="D29" s="76"/>
      <c r="E29" s="76"/>
      <c r="F29" s="76"/>
      <c r="G29" s="76"/>
      <c r="H29" s="76"/>
      <c r="I29" s="76"/>
      <c r="J29" s="76"/>
      <c r="K29" s="76"/>
      <c r="L29" s="76"/>
      <c r="M29" s="76"/>
      <c r="N29" s="76"/>
      <c r="O29" s="76"/>
      <c r="P29" s="76"/>
      <c r="Q29" s="76"/>
      <c r="R29" s="76"/>
    </row>
    <row r="30" spans="2:18">
      <c r="B30" s="79" t="s">
        <v>219</v>
      </c>
      <c r="D30" s="76"/>
      <c r="E30" s="76"/>
      <c r="F30" s="76"/>
      <c r="G30" s="76"/>
      <c r="H30" s="76"/>
      <c r="I30" s="78"/>
      <c r="J30" s="78"/>
      <c r="K30" s="78"/>
      <c r="L30" s="78"/>
      <c r="M30" s="78"/>
      <c r="N30" s="78"/>
      <c r="O30" s="78"/>
      <c r="P30" s="78"/>
      <c r="Q30" s="78"/>
      <c r="R30" s="78"/>
    </row>
    <row r="31" spans="2:18">
      <c r="B31" s="90" t="s">
        <v>8</v>
      </c>
      <c r="D31" s="83">
        <f>Assumptions!F13</f>
        <v>12647</v>
      </c>
      <c r="E31" s="83">
        <f>Assumptions!G13</f>
        <v>14882</v>
      </c>
      <c r="F31" s="83">
        <f>Assumptions!H13</f>
        <v>19002</v>
      </c>
      <c r="G31" s="83">
        <f>Assumptions!I13</f>
        <v>28554.3</v>
      </c>
      <c r="H31" s="83">
        <f>Assumptions!J13</f>
        <v>37291.949999999997</v>
      </c>
      <c r="I31" s="83">
        <f>Assumptions!K13</f>
        <v>50875</v>
      </c>
      <c r="J31" s="83">
        <f>Assumptions!L13</f>
        <v>51408</v>
      </c>
      <c r="K31" s="83">
        <f>Assumptions!M13</f>
        <v>31593.54</v>
      </c>
      <c r="L31" s="83">
        <f>Assumptions!N13</f>
        <v>89940</v>
      </c>
      <c r="M31" s="83">
        <f>Assumptions!O13</f>
        <v>0</v>
      </c>
      <c r="N31" s="83">
        <f>Assumptions!P13</f>
        <v>0</v>
      </c>
      <c r="O31" s="83">
        <f>Assumptions!Q13</f>
        <v>0</v>
      </c>
      <c r="P31" s="83">
        <f>Assumptions!R13</f>
        <v>0</v>
      </c>
      <c r="Q31" s="83">
        <f>Assumptions!S13</f>
        <v>0</v>
      </c>
      <c r="R31" s="83">
        <f>Assumptions!T13</f>
        <v>0</v>
      </c>
    </row>
    <row r="32" spans="2:18">
      <c r="B32" s="90"/>
      <c r="D32" s="83"/>
      <c r="E32" s="91"/>
      <c r="F32" s="91"/>
      <c r="G32" s="91"/>
      <c r="H32" s="81"/>
      <c r="I32" s="81"/>
      <c r="J32" s="81"/>
      <c r="K32" s="81"/>
      <c r="L32" s="81"/>
      <c r="M32" s="81"/>
      <c r="N32" s="81"/>
      <c r="O32" s="81"/>
      <c r="P32" s="81"/>
      <c r="Q32" s="81"/>
      <c r="R32" s="81"/>
    </row>
    <row r="33" spans="2:18">
      <c r="B33" s="280" t="s">
        <v>216</v>
      </c>
      <c r="D33" s="84">
        <f>Assumptions!F149</f>
        <v>4371</v>
      </c>
      <c r="E33" s="84">
        <f>Assumptions!G149</f>
        <v>4936</v>
      </c>
      <c r="F33" s="84">
        <f>Assumptions!H149</f>
        <v>5868</v>
      </c>
      <c r="G33" s="84">
        <f>Assumptions!I149</f>
        <v>5838</v>
      </c>
      <c r="H33" s="298">
        <f>((Assumptions!J149*Assumptions!J152)+(Assumptions!J149*Assumptions!J152*Assumptions!J154))+((Assumptions!J149*Assumptions!J153)+(Assumptions!J149*Assumptions!J153*Assumptions!J155))</f>
        <v>5913.5864641999997</v>
      </c>
      <c r="I33" s="298">
        <f>((Assumptions!K149*Assumptions!K152)+(Assumptions!K149*Assumptions!K152*Assumptions!K154))+((Assumptions!K149*Assumptions!K153)+(Assumptions!K149*Assumptions!K153*Assumptions!K155))</f>
        <v>7172.5285899999999</v>
      </c>
      <c r="J33" s="298">
        <f>((Assumptions!L149*Assumptions!L152)+(Assumptions!L149*Assumptions!L152*Assumptions!L154))+((Assumptions!L149*Assumptions!L153)+(Assumptions!L149*Assumptions!L153*Assumptions!L155))</f>
        <v>8420.7900622399993</v>
      </c>
      <c r="K33" s="298">
        <f>((Assumptions!M149*Assumptions!M152)+(Assumptions!M149*Assumptions!M152*Assumptions!M154))+((Assumptions!M149*Assumptions!M153)+(Assumptions!M149*Assumptions!M153*Assumptions!M155))</f>
        <v>10388.515686657</v>
      </c>
      <c r="L33" s="298">
        <f>((Assumptions!N149*Assumptions!N152)+(Assumptions!N149*Assumptions!N152*Assumptions!N154))+((Assumptions!N149*Assumptions!N153)+(Assumptions!N149*Assumptions!N153*Assumptions!N155))</f>
        <v>11318.754851181</v>
      </c>
      <c r="M33" s="298">
        <f>((Assumptions!O149*Assumptions!O152)+(Assumptions!O149*Assumptions!O152*Assumptions!O154))+((Assumptions!O149*Assumptions!O153)+(Assumptions!O149*Assumptions!O153*Assumptions!O155))</f>
        <v>0</v>
      </c>
      <c r="N33" s="298">
        <f>((Assumptions!P149*Assumptions!P152)+(Assumptions!P149*Assumptions!P152*Assumptions!P154))+((Assumptions!P149*Assumptions!P153)+(Assumptions!P149*Assumptions!P153*Assumptions!P155))</f>
        <v>0</v>
      </c>
      <c r="O33" s="298">
        <f>((Assumptions!Q149*Assumptions!Q152)+(Assumptions!Q149*Assumptions!Q152*Assumptions!Q154))+((Assumptions!Q149*Assumptions!Q153)+(Assumptions!Q149*Assumptions!Q153*Assumptions!Q155))</f>
        <v>0</v>
      </c>
      <c r="P33" s="298">
        <f>((Assumptions!R149*Assumptions!R152)+(Assumptions!R149*Assumptions!R152*Assumptions!R154))+((Assumptions!R149*Assumptions!R153)+(Assumptions!R149*Assumptions!R153*Assumptions!R155))</f>
        <v>0</v>
      </c>
      <c r="Q33" s="298">
        <f>((Assumptions!S149*Assumptions!S152)+(Assumptions!S149*Assumptions!S152*Assumptions!S154))+((Assumptions!S149*Assumptions!S153)+(Assumptions!S149*Assumptions!S153*Assumptions!S155))</f>
        <v>0</v>
      </c>
      <c r="R33" s="298">
        <f>((Assumptions!T149*Assumptions!T152)+(Assumptions!T149*Assumptions!T152*Assumptions!T154))+((Assumptions!T149*Assumptions!T153)+(Assumptions!T149*Assumptions!T153*Assumptions!T155))</f>
        <v>0</v>
      </c>
    </row>
    <row r="34" spans="2:18" hidden="1">
      <c r="B34" s="82" t="s">
        <v>7</v>
      </c>
      <c r="D34" s="83">
        <f>D33*D14+D33</f>
        <v>4371</v>
      </c>
      <c r="E34" s="83">
        <f t="shared" ref="E34:R34" si="6">E33*E14+E33</f>
        <v>4936</v>
      </c>
      <c r="F34" s="83">
        <f t="shared" si="6"/>
        <v>5868</v>
      </c>
      <c r="G34" s="83">
        <f t="shared" si="6"/>
        <v>5838</v>
      </c>
      <c r="H34" s="83">
        <f t="shared" si="6"/>
        <v>5913.5864641999997</v>
      </c>
      <c r="I34" s="83">
        <f t="shared" si="6"/>
        <v>7172.5285899999999</v>
      </c>
      <c r="J34" s="83">
        <f t="shared" si="6"/>
        <v>8420.7900622399993</v>
      </c>
      <c r="K34" s="83">
        <f t="shared" si="6"/>
        <v>10388.515686657</v>
      </c>
      <c r="L34" s="83">
        <f t="shared" si="6"/>
        <v>11318.754851181</v>
      </c>
      <c r="M34" s="83">
        <f t="shared" si="6"/>
        <v>0</v>
      </c>
      <c r="N34" s="83">
        <f t="shared" si="6"/>
        <v>0</v>
      </c>
      <c r="O34" s="83">
        <f t="shared" si="6"/>
        <v>0</v>
      </c>
      <c r="P34" s="83">
        <f t="shared" si="6"/>
        <v>0</v>
      </c>
      <c r="Q34" s="83">
        <f t="shared" si="6"/>
        <v>0</v>
      </c>
      <c r="R34" s="83">
        <f t="shared" si="6"/>
        <v>0</v>
      </c>
    </row>
    <row r="35" spans="2:18">
      <c r="B35" s="75"/>
      <c r="D35" s="75"/>
      <c r="E35" s="75"/>
      <c r="F35" s="75"/>
      <c r="G35" s="75"/>
      <c r="H35" s="75"/>
      <c r="I35" s="75"/>
      <c r="J35" s="75"/>
      <c r="K35" s="75"/>
      <c r="L35" s="75"/>
      <c r="M35" s="75"/>
      <c r="N35" s="75"/>
      <c r="O35" s="75"/>
      <c r="P35" s="75"/>
      <c r="Q35" s="75"/>
      <c r="R35" s="75"/>
    </row>
    <row r="36" spans="2:18">
      <c r="B36" s="76"/>
      <c r="C36" s="30"/>
      <c r="D36" s="76"/>
      <c r="E36" s="76"/>
      <c r="F36" s="76"/>
      <c r="G36" s="76"/>
      <c r="H36" s="76"/>
      <c r="I36" s="76"/>
      <c r="J36" s="76"/>
      <c r="K36" s="76"/>
      <c r="L36" s="76"/>
      <c r="M36" s="76"/>
      <c r="N36" s="76"/>
      <c r="O36" s="76"/>
      <c r="P36" s="76"/>
      <c r="Q36" s="76"/>
      <c r="R36" s="76"/>
    </row>
    <row r="37" spans="2:18" hidden="1">
      <c r="B37" s="85" t="s">
        <v>6</v>
      </c>
      <c r="D37" s="86">
        <f t="shared" ref="D37:M37" si="7">D14</f>
        <v>0</v>
      </c>
      <c r="E37" s="86">
        <f t="shared" si="7"/>
        <v>0</v>
      </c>
      <c r="F37" s="86">
        <f t="shared" si="7"/>
        <v>0</v>
      </c>
      <c r="G37" s="86">
        <f t="shared" si="7"/>
        <v>0</v>
      </c>
      <c r="H37" s="86">
        <f t="shared" si="7"/>
        <v>0</v>
      </c>
      <c r="I37" s="86">
        <f t="shared" si="7"/>
        <v>0</v>
      </c>
      <c r="J37" s="86">
        <f t="shared" si="7"/>
        <v>0</v>
      </c>
      <c r="K37" s="86">
        <f t="shared" si="7"/>
        <v>0</v>
      </c>
      <c r="L37" s="86">
        <f t="shared" si="7"/>
        <v>0</v>
      </c>
      <c r="M37" s="86">
        <f t="shared" si="7"/>
        <v>0</v>
      </c>
      <c r="N37" s="86">
        <f>N14</f>
        <v>0</v>
      </c>
      <c r="O37" s="86">
        <f>O14</f>
        <v>0</v>
      </c>
      <c r="P37" s="86">
        <f>P14</f>
        <v>0</v>
      </c>
      <c r="Q37" s="86">
        <f>Q14</f>
        <v>0</v>
      </c>
      <c r="R37" s="86">
        <f>R14</f>
        <v>0</v>
      </c>
    </row>
    <row r="38" spans="2:18">
      <c r="B38" s="79" t="s">
        <v>220</v>
      </c>
      <c r="D38" s="78"/>
      <c r="E38" s="78"/>
      <c r="F38" s="78"/>
      <c r="G38" s="78"/>
      <c r="H38" s="78"/>
      <c r="I38" s="78"/>
      <c r="J38" s="78"/>
      <c r="K38" s="78"/>
      <c r="L38" s="78"/>
      <c r="M38" s="78"/>
      <c r="N38" s="78"/>
      <c r="O38" s="78"/>
      <c r="P38" s="78"/>
      <c r="Q38" s="78"/>
      <c r="R38" s="78"/>
    </row>
    <row r="39" spans="2:18">
      <c r="B39" s="80"/>
      <c r="D39" s="91"/>
      <c r="E39" s="91"/>
      <c r="F39" s="91"/>
      <c r="G39" s="91"/>
      <c r="H39" s="81"/>
      <c r="I39" s="81"/>
      <c r="J39" s="81"/>
      <c r="K39" s="81"/>
      <c r="L39" s="81"/>
      <c r="M39" s="81"/>
      <c r="N39" s="81"/>
      <c r="O39" s="81"/>
      <c r="P39" s="81"/>
      <c r="Q39" s="81"/>
      <c r="R39" s="81"/>
    </row>
    <row r="40" spans="2:18">
      <c r="B40" s="280" t="s">
        <v>216</v>
      </c>
      <c r="D40" s="84">
        <f>(D47*D45+D54*D52)/(D52+D45)</f>
        <v>1079.839653304442</v>
      </c>
      <c r="E40" s="84">
        <f t="shared" ref="E40:M40" si="8">(E47*E45+E54*E52)/(E52+E45)</f>
        <v>2216.1807710206094</v>
      </c>
      <c r="F40" s="84">
        <f t="shared" si="8"/>
        <v>1548</v>
      </c>
      <c r="G40" s="84">
        <f t="shared" si="8"/>
        <v>1765</v>
      </c>
      <c r="H40" s="84">
        <f>(H47*H45+H54*H52)/(H52+H45)</f>
        <v>1686.1136259999998</v>
      </c>
      <c r="I40" s="84">
        <f>(I47*I45+I54*I52)/(I52+I45)</f>
        <v>2043.3307139999999</v>
      </c>
      <c r="J40" s="84">
        <f>(J47*J45+J54*J52)/(J52+J45)</f>
        <v>2593.2854196999997</v>
      </c>
      <c r="K40" s="84">
        <f t="shared" si="8"/>
        <v>3121.4613509299998</v>
      </c>
      <c r="L40" s="84">
        <f t="shared" si="8"/>
        <v>4104.2599059929998</v>
      </c>
      <c r="M40" s="84" t="e">
        <f t="shared" si="8"/>
        <v>#DIV/0!</v>
      </c>
      <c r="N40" s="84" t="e">
        <f>(N47*N45+N54*N52)/(N52+N45)</f>
        <v>#DIV/0!</v>
      </c>
      <c r="O40" s="84" t="e">
        <f>(O47*O45+O54*O52)/(O52+O45)</f>
        <v>#DIV/0!</v>
      </c>
      <c r="P40" s="84" t="e">
        <f>(P47*P45+P54*P52)/(P52+P45)</f>
        <v>#DIV/0!</v>
      </c>
      <c r="Q40" s="84" t="e">
        <f>(Q47*Q45+Q54*Q52)/(Q52+Q45)</f>
        <v>#DIV/0!</v>
      </c>
      <c r="R40" s="84" t="e">
        <f>(R47*R45+R54*R52)/(R52+R45)</f>
        <v>#DIV/0!</v>
      </c>
    </row>
    <row r="41" spans="2:18" hidden="1">
      <c r="B41" s="82" t="s">
        <v>7</v>
      </c>
      <c r="D41" s="83">
        <f t="shared" ref="D41:R41" si="9">D40*D37+D40</f>
        <v>1079.839653304442</v>
      </c>
      <c r="E41" s="83">
        <f t="shared" si="9"/>
        <v>2216.1807710206094</v>
      </c>
      <c r="F41" s="83">
        <f t="shared" si="9"/>
        <v>1548</v>
      </c>
      <c r="G41" s="83">
        <f t="shared" si="9"/>
        <v>1765</v>
      </c>
      <c r="H41" s="83">
        <f t="shared" si="9"/>
        <v>1686.1136259999998</v>
      </c>
      <c r="I41" s="83">
        <f t="shared" si="9"/>
        <v>2043.3307139999999</v>
      </c>
      <c r="J41" s="83">
        <f t="shared" si="9"/>
        <v>2593.2854196999997</v>
      </c>
      <c r="K41" s="83">
        <f t="shared" si="9"/>
        <v>3121.4613509299998</v>
      </c>
      <c r="L41" s="83">
        <f t="shared" si="9"/>
        <v>4104.2599059929998</v>
      </c>
      <c r="M41" s="83" t="e">
        <f t="shared" si="9"/>
        <v>#DIV/0!</v>
      </c>
      <c r="N41" s="83" t="e">
        <f t="shared" si="9"/>
        <v>#DIV/0!</v>
      </c>
      <c r="O41" s="83" t="e">
        <f t="shared" si="9"/>
        <v>#DIV/0!</v>
      </c>
      <c r="P41" s="83" t="e">
        <f t="shared" si="9"/>
        <v>#DIV/0!</v>
      </c>
      <c r="Q41" s="83" t="e">
        <f t="shared" si="9"/>
        <v>#DIV/0!</v>
      </c>
      <c r="R41" s="83" t="e">
        <f t="shared" si="9"/>
        <v>#DIV/0!</v>
      </c>
    </row>
    <row r="42" spans="2:18">
      <c r="B42" s="75"/>
      <c r="D42" s="75"/>
      <c r="E42" s="75"/>
      <c r="F42" s="75"/>
      <c r="G42" s="75"/>
      <c r="H42" s="75"/>
      <c r="I42" s="75"/>
      <c r="J42" s="75"/>
      <c r="K42" s="75"/>
      <c r="L42" s="75"/>
      <c r="M42" s="75"/>
      <c r="N42" s="75"/>
      <c r="O42" s="75"/>
      <c r="P42" s="75"/>
      <c r="Q42" s="75"/>
      <c r="R42" s="75"/>
    </row>
    <row r="43" spans="2:18">
      <c r="B43" s="76"/>
      <c r="D43" s="76"/>
      <c r="E43" s="76"/>
      <c r="F43" s="76"/>
      <c r="G43" s="76"/>
      <c r="H43" s="76"/>
      <c r="I43" s="76"/>
      <c r="J43" s="76"/>
      <c r="K43" s="76"/>
      <c r="L43" s="76"/>
      <c r="M43" s="76"/>
      <c r="N43" s="76"/>
      <c r="O43" s="76"/>
      <c r="P43" s="76"/>
      <c r="Q43" s="76"/>
      <c r="R43" s="76"/>
    </row>
    <row r="44" spans="2:18">
      <c r="B44" s="79" t="s">
        <v>93</v>
      </c>
      <c r="D44" s="78"/>
      <c r="E44" s="78"/>
      <c r="F44" s="78"/>
      <c r="G44" s="78"/>
      <c r="H44" s="78"/>
      <c r="I44" s="78"/>
      <c r="J44" s="78"/>
      <c r="K44" s="78"/>
      <c r="L44" s="78"/>
      <c r="M44" s="78"/>
      <c r="N44" s="78"/>
      <c r="O44" s="78"/>
      <c r="P44" s="78"/>
      <c r="Q44" s="78"/>
      <c r="R44" s="78"/>
    </row>
    <row r="45" spans="2:18">
      <c r="B45" s="79" t="s">
        <v>221</v>
      </c>
      <c r="D45" s="281">
        <f>Assumptions!F15</f>
        <v>13575</v>
      </c>
      <c r="E45" s="281">
        <f>Assumptions!G15</f>
        <v>5127</v>
      </c>
      <c r="F45" s="281">
        <f>Assumptions!H15</f>
        <v>0</v>
      </c>
      <c r="G45" s="281">
        <f>Assumptions!I15</f>
        <v>0</v>
      </c>
      <c r="H45" s="281">
        <f>Assumptions!J15</f>
        <v>0</v>
      </c>
      <c r="I45" s="281">
        <f>Assumptions!K15</f>
        <v>0</v>
      </c>
      <c r="J45" s="281">
        <f>Assumptions!L15</f>
        <v>0</v>
      </c>
      <c r="K45" s="281">
        <f>Assumptions!M15</f>
        <v>0</v>
      </c>
      <c r="L45" s="281">
        <f>Assumptions!N15</f>
        <v>0</v>
      </c>
      <c r="M45" s="281">
        <f>Assumptions!O15</f>
        <v>0</v>
      </c>
      <c r="N45" s="281">
        <f>Assumptions!P15</f>
        <v>0</v>
      </c>
      <c r="O45" s="281">
        <f>Assumptions!Q15</f>
        <v>0</v>
      </c>
      <c r="P45" s="281">
        <f>Assumptions!R15</f>
        <v>0</v>
      </c>
      <c r="Q45" s="281">
        <f>Assumptions!S15</f>
        <v>0</v>
      </c>
      <c r="R45" s="281">
        <f>Assumptions!T15</f>
        <v>0</v>
      </c>
    </row>
    <row r="46" spans="2:18">
      <c r="B46" s="80"/>
      <c r="D46" s="91"/>
      <c r="E46" s="91"/>
      <c r="F46" s="91"/>
      <c r="G46" s="91"/>
      <c r="H46" s="81"/>
      <c r="I46" s="81"/>
      <c r="J46" s="81"/>
      <c r="K46" s="81"/>
      <c r="L46" s="81"/>
      <c r="M46" s="81"/>
      <c r="N46" s="81"/>
      <c r="O46" s="81"/>
      <c r="P46" s="81"/>
      <c r="Q46" s="81"/>
      <c r="R46" s="81"/>
    </row>
    <row r="47" spans="2:18">
      <c r="B47" s="280" t="s">
        <v>216</v>
      </c>
      <c r="D47" s="84">
        <f>Assumptions!F145</f>
        <v>0</v>
      </c>
      <c r="E47" s="84">
        <f>Assumptions!G145</f>
        <v>0</v>
      </c>
      <c r="F47" s="84">
        <f>Assumptions!H145</f>
        <v>0</v>
      </c>
      <c r="G47" s="84">
        <f>Assumptions!I145</f>
        <v>0</v>
      </c>
      <c r="H47" s="298">
        <f>Assumptions!J145</f>
        <v>0</v>
      </c>
      <c r="I47" s="298">
        <f>Assumptions!K145</f>
        <v>0</v>
      </c>
      <c r="J47" s="298">
        <f>Assumptions!L145</f>
        <v>0</v>
      </c>
      <c r="K47" s="298">
        <f>Assumptions!M145</f>
        <v>0</v>
      </c>
      <c r="L47" s="298">
        <f>Assumptions!N145</f>
        <v>0</v>
      </c>
      <c r="M47" s="298">
        <f>Assumptions!O145</f>
        <v>0</v>
      </c>
      <c r="N47" s="298">
        <f>Assumptions!P145</f>
        <v>0</v>
      </c>
      <c r="O47" s="298">
        <f>Assumptions!Q145</f>
        <v>0</v>
      </c>
      <c r="P47" s="298">
        <f>Assumptions!R145</f>
        <v>0</v>
      </c>
      <c r="Q47" s="298">
        <f>Assumptions!S145</f>
        <v>0</v>
      </c>
      <c r="R47" s="298">
        <f>Assumptions!T145</f>
        <v>0</v>
      </c>
    </row>
    <row r="48" spans="2:18" hidden="1">
      <c r="B48" s="82" t="s">
        <v>7</v>
      </c>
      <c r="D48" s="83">
        <f t="shared" ref="D48:R48" si="10">D47*D37+D47</f>
        <v>0</v>
      </c>
      <c r="E48" s="83">
        <f t="shared" si="10"/>
        <v>0</v>
      </c>
      <c r="F48" s="83">
        <f t="shared" si="10"/>
        <v>0</v>
      </c>
      <c r="G48" s="83">
        <f t="shared" si="10"/>
        <v>0</v>
      </c>
      <c r="H48" s="83">
        <f t="shared" si="10"/>
        <v>0</v>
      </c>
      <c r="I48" s="83">
        <f t="shared" si="10"/>
        <v>0</v>
      </c>
      <c r="J48" s="83">
        <f t="shared" si="10"/>
        <v>0</v>
      </c>
      <c r="K48" s="83">
        <f t="shared" si="10"/>
        <v>0</v>
      </c>
      <c r="L48" s="83">
        <f t="shared" si="10"/>
        <v>0</v>
      </c>
      <c r="M48" s="83">
        <f t="shared" si="10"/>
        <v>0</v>
      </c>
      <c r="N48" s="83">
        <f t="shared" si="10"/>
        <v>0</v>
      </c>
      <c r="O48" s="83">
        <f t="shared" si="10"/>
        <v>0</v>
      </c>
      <c r="P48" s="83">
        <f t="shared" si="10"/>
        <v>0</v>
      </c>
      <c r="Q48" s="83">
        <f t="shared" si="10"/>
        <v>0</v>
      </c>
      <c r="R48" s="83">
        <f t="shared" si="10"/>
        <v>0</v>
      </c>
    </row>
    <row r="49" spans="2:20">
      <c r="B49" s="75"/>
      <c r="D49" s="75"/>
      <c r="E49" s="75"/>
      <c r="F49" s="75"/>
      <c r="G49" s="75"/>
      <c r="H49" s="75"/>
      <c r="I49" s="75"/>
      <c r="J49" s="75"/>
      <c r="K49" s="75"/>
      <c r="L49" s="75"/>
      <c r="M49" s="75"/>
      <c r="N49" s="75"/>
      <c r="O49" s="75"/>
      <c r="P49" s="75"/>
      <c r="Q49" s="75"/>
      <c r="R49" s="75"/>
    </row>
    <row r="50" spans="2:20">
      <c r="B50" s="76"/>
      <c r="D50" s="76"/>
      <c r="E50" s="76"/>
      <c r="F50" s="76"/>
      <c r="G50" s="76"/>
      <c r="H50" s="76"/>
      <c r="I50" s="76"/>
      <c r="J50" s="76"/>
      <c r="K50" s="76"/>
      <c r="L50" s="76"/>
      <c r="M50" s="76"/>
      <c r="N50" s="76"/>
      <c r="O50" s="76"/>
      <c r="P50" s="76"/>
      <c r="Q50" s="76"/>
      <c r="R50" s="76"/>
    </row>
    <row r="51" spans="2:20">
      <c r="B51" s="79" t="s">
        <v>124</v>
      </c>
      <c r="D51" s="78"/>
      <c r="E51" s="88"/>
      <c r="F51" s="88"/>
      <c r="G51" s="88"/>
      <c r="H51" s="88"/>
      <c r="I51" s="88"/>
      <c r="J51" s="78"/>
      <c r="K51" s="78"/>
      <c r="L51" s="78"/>
      <c r="M51" s="78"/>
      <c r="N51" s="78"/>
      <c r="O51" s="78"/>
      <c r="P51" s="78"/>
      <c r="Q51" s="78"/>
      <c r="R51" s="78"/>
      <c r="T51" s="8"/>
    </row>
    <row r="52" spans="2:20">
      <c r="B52" s="79" t="s">
        <v>221</v>
      </c>
      <c r="D52" s="282">
        <f>Assumptions!F16</f>
        <v>37190</v>
      </c>
      <c r="E52" s="282">
        <f>Assumptions!G16</f>
        <v>38280.400000000001</v>
      </c>
      <c r="F52" s="282">
        <f>Assumptions!H16</f>
        <v>65680.5</v>
      </c>
      <c r="G52" s="282">
        <f>Assumptions!I16</f>
        <v>71790</v>
      </c>
      <c r="H52" s="282">
        <f>Assumptions!J16</f>
        <v>76931</v>
      </c>
      <c r="I52" s="282">
        <f>Assumptions!K16</f>
        <v>89311</v>
      </c>
      <c r="J52" s="282">
        <f>Assumptions!L16</f>
        <v>82392</v>
      </c>
      <c r="K52" s="282">
        <f>Assumptions!M16</f>
        <v>112863.61</v>
      </c>
      <c r="L52" s="282">
        <f>Assumptions!N16</f>
        <v>121572</v>
      </c>
      <c r="M52" s="282">
        <f>Assumptions!O16</f>
        <v>0</v>
      </c>
      <c r="N52" s="282">
        <f>Assumptions!P16</f>
        <v>0</v>
      </c>
      <c r="O52" s="282">
        <f>Assumptions!Q16</f>
        <v>0</v>
      </c>
      <c r="P52" s="282">
        <f>Assumptions!R16</f>
        <v>0</v>
      </c>
      <c r="Q52" s="282">
        <f>Assumptions!S16</f>
        <v>0</v>
      </c>
      <c r="R52" s="282">
        <f>Assumptions!T16</f>
        <v>0</v>
      </c>
      <c r="T52" s="8"/>
    </row>
    <row r="53" spans="2:20">
      <c r="B53" s="80"/>
      <c r="D53" s="91"/>
      <c r="E53" s="91"/>
      <c r="F53" s="84"/>
      <c r="G53" s="91"/>
      <c r="H53" s="81"/>
      <c r="I53" s="81"/>
      <c r="J53" s="81"/>
      <c r="K53" s="81"/>
      <c r="L53" s="81"/>
      <c r="M53" s="81"/>
      <c r="N53" s="81"/>
      <c r="O53" s="81"/>
      <c r="P53" s="81"/>
      <c r="Q53" s="81"/>
      <c r="R53" s="81"/>
      <c r="T53" s="8"/>
    </row>
    <row r="54" spans="2:20">
      <c r="B54" s="280" t="s">
        <v>216</v>
      </c>
      <c r="D54" s="84">
        <f>Assumptions!F146</f>
        <v>1474</v>
      </c>
      <c r="E54" s="84">
        <f>Assumptions!G146</f>
        <v>2513</v>
      </c>
      <c r="F54" s="84">
        <f>Assumptions!H146</f>
        <v>1548</v>
      </c>
      <c r="G54" s="84">
        <f>Assumptions!I146</f>
        <v>1765</v>
      </c>
      <c r="H54" s="298">
        <f>((Assumptions!J146*Assumptions!J152)+(Assumptions!J146*Assumptions!J152*Assumptions!J154))+((Assumptions!J146*Assumptions!J153)+(Assumptions!J146*Assumptions!J153*Assumptions!J155))</f>
        <v>1686.1136259999998</v>
      </c>
      <c r="I54" s="298">
        <f>((Assumptions!K146*Assumptions!K152)+(Assumptions!K146*Assumptions!K152*Assumptions!K154))+((Assumptions!K146*Assumptions!K153)+(Assumptions!K146*Assumptions!K153*Assumptions!K155))</f>
        <v>2043.3307139999999</v>
      </c>
      <c r="J54" s="298">
        <f>((Assumptions!L146*Assumptions!L152)+(Assumptions!L146*Assumptions!L152*Assumptions!L154))+((Assumptions!L146*Assumptions!L153)+(Assumptions!L146*Assumptions!L153*Assumptions!L155))</f>
        <v>2593.2854196999997</v>
      </c>
      <c r="K54" s="298">
        <f>((Assumptions!M146*Assumptions!M152)+(Assumptions!M146*Assumptions!M152*Assumptions!M154))+((Assumptions!M146*Assumptions!M153)+(Assumptions!M146*Assumptions!M153*Assumptions!M155))</f>
        <v>3121.4613509299998</v>
      </c>
      <c r="L54" s="298">
        <f>((Assumptions!N146*Assumptions!N152)+(Assumptions!N146*Assumptions!N152*Assumptions!N154))+((Assumptions!N146*Assumptions!N153)+(Assumptions!N146*Assumptions!N153*Assumptions!N155))</f>
        <v>4104.2599059929998</v>
      </c>
      <c r="M54" s="298">
        <f>((Assumptions!O146*Assumptions!O152)+(Assumptions!O146*Assumptions!O152*Assumptions!O154))+((Assumptions!O146*Assumptions!O153)+(Assumptions!O146*Assumptions!O153*Assumptions!O155))</f>
        <v>0</v>
      </c>
      <c r="N54" s="298">
        <f>((Assumptions!P146*Assumptions!P152)+(Assumptions!P146*Assumptions!P152*Assumptions!P154))+((Assumptions!P146*Assumptions!P153)+(Assumptions!P146*Assumptions!P153*Assumptions!P155))</f>
        <v>0</v>
      </c>
      <c r="O54" s="298">
        <f>((Assumptions!Q146*Assumptions!Q152)+(Assumptions!Q146*Assumptions!Q152*Assumptions!Q154))+((Assumptions!Q146*Assumptions!Q153)+(Assumptions!Q146*Assumptions!Q153*Assumptions!Q155))</f>
        <v>0</v>
      </c>
      <c r="P54" s="298">
        <f>((Assumptions!R146*Assumptions!R152)+(Assumptions!R146*Assumptions!R152*Assumptions!R154))+((Assumptions!R146*Assumptions!R153)+(Assumptions!R146*Assumptions!R153*Assumptions!R155))</f>
        <v>0</v>
      </c>
      <c r="Q54" s="298">
        <f>((Assumptions!S146*Assumptions!S152)+(Assumptions!S146*Assumptions!S152*Assumptions!S154))+((Assumptions!S146*Assumptions!S153)+(Assumptions!S146*Assumptions!S153*Assumptions!S155))</f>
        <v>0</v>
      </c>
      <c r="R54" s="298">
        <f>((Assumptions!T146*Assumptions!T152)+(Assumptions!T146*Assumptions!T152*Assumptions!T154))+((Assumptions!T146*Assumptions!T153)+(Assumptions!T146*Assumptions!T153*Assumptions!T155))</f>
        <v>0</v>
      </c>
    </row>
    <row r="55" spans="2:20" hidden="1">
      <c r="B55" s="82" t="s">
        <v>7</v>
      </c>
      <c r="D55" s="83">
        <f t="shared" ref="D55:R55" si="11">D54*D37+D54</f>
        <v>1474</v>
      </c>
      <c r="E55" s="83">
        <f t="shared" si="11"/>
        <v>2513</v>
      </c>
      <c r="F55" s="83">
        <f t="shared" si="11"/>
        <v>1548</v>
      </c>
      <c r="G55" s="83">
        <f t="shared" si="11"/>
        <v>1765</v>
      </c>
      <c r="H55" s="83">
        <f t="shared" si="11"/>
        <v>1686.1136259999998</v>
      </c>
      <c r="I55" s="83">
        <f t="shared" si="11"/>
        <v>2043.3307139999999</v>
      </c>
      <c r="J55" s="83">
        <f t="shared" si="11"/>
        <v>2593.2854196999997</v>
      </c>
      <c r="K55" s="83">
        <f t="shared" si="11"/>
        <v>3121.4613509299998</v>
      </c>
      <c r="L55" s="83">
        <f t="shared" si="11"/>
        <v>4104.2599059929998</v>
      </c>
      <c r="M55" s="83">
        <f t="shared" si="11"/>
        <v>0</v>
      </c>
      <c r="N55" s="83">
        <f t="shared" si="11"/>
        <v>0</v>
      </c>
      <c r="O55" s="83">
        <f t="shared" si="11"/>
        <v>0</v>
      </c>
      <c r="P55" s="83">
        <f t="shared" si="11"/>
        <v>0</v>
      </c>
      <c r="Q55" s="83">
        <f t="shared" si="11"/>
        <v>0</v>
      </c>
      <c r="R55" s="83">
        <f t="shared" si="11"/>
        <v>0</v>
      </c>
    </row>
    <row r="56" spans="2:20">
      <c r="B56" s="106"/>
      <c r="C56" s="27"/>
      <c r="D56" s="106"/>
      <c r="E56" s="106"/>
      <c r="F56" s="106"/>
      <c r="G56" s="106"/>
      <c r="H56" s="106"/>
      <c r="I56" s="106"/>
      <c r="J56" s="106"/>
      <c r="K56" s="106"/>
      <c r="L56" s="106"/>
      <c r="M56" s="106"/>
      <c r="N56" s="106"/>
      <c r="O56" s="106"/>
      <c r="P56" s="106"/>
      <c r="Q56" s="106"/>
      <c r="R56" s="106"/>
    </row>
    <row r="57" spans="2:20">
      <c r="C57" s="3"/>
    </row>
    <row r="58" spans="2:20">
      <c r="B58" s="46" t="s">
        <v>222</v>
      </c>
      <c r="D58" s="70"/>
      <c r="E58" s="70"/>
      <c r="F58" s="70"/>
      <c r="G58" s="70"/>
      <c r="H58" s="70"/>
      <c r="I58" s="70"/>
      <c r="J58" s="70"/>
      <c r="K58" s="70"/>
      <c r="L58" s="70"/>
      <c r="M58" s="260"/>
      <c r="N58" s="260"/>
      <c r="O58" s="260"/>
      <c r="P58" s="260"/>
      <c r="Q58" s="260"/>
      <c r="R58" s="260"/>
    </row>
    <row r="59" spans="2:20">
      <c r="B59" s="62" t="s">
        <v>89</v>
      </c>
      <c r="D59" s="21">
        <f t="shared" ref="D59:R59" si="12">D12</f>
        <v>1985</v>
      </c>
      <c r="E59" s="21">
        <f t="shared" si="12"/>
        <v>2008</v>
      </c>
      <c r="F59" s="21">
        <f t="shared" si="12"/>
        <v>2206</v>
      </c>
      <c r="G59" s="21">
        <f t="shared" si="12"/>
        <v>2229</v>
      </c>
      <c r="H59" s="21">
        <f t="shared" si="12"/>
        <v>2218.3567223999999</v>
      </c>
      <c r="I59" s="21">
        <f t="shared" si="12"/>
        <v>2513.6938380000001</v>
      </c>
      <c r="J59" s="21">
        <f t="shared" si="12"/>
        <v>3072.2025699000001</v>
      </c>
      <c r="K59" s="21">
        <f t="shared" si="12"/>
        <v>3684.159567703</v>
      </c>
      <c r="L59" s="21">
        <f t="shared" si="12"/>
        <v>4304.3152250969997</v>
      </c>
      <c r="M59" s="21">
        <f t="shared" si="12"/>
        <v>0</v>
      </c>
      <c r="N59" s="21">
        <f t="shared" si="12"/>
        <v>0</v>
      </c>
      <c r="O59" s="21">
        <f t="shared" si="12"/>
        <v>0</v>
      </c>
      <c r="P59" s="21">
        <f t="shared" si="12"/>
        <v>0</v>
      </c>
      <c r="Q59" s="21">
        <f t="shared" si="12"/>
        <v>0</v>
      </c>
      <c r="R59" s="21">
        <f t="shared" si="12"/>
        <v>0</v>
      </c>
    </row>
    <row r="60" spans="2:20">
      <c r="B60" s="62" t="s">
        <v>93</v>
      </c>
      <c r="D60" s="21">
        <f>D41</f>
        <v>1079.839653304442</v>
      </c>
      <c r="E60" s="21">
        <f>E41</f>
        <v>2216.1807710206094</v>
      </c>
      <c r="F60" s="21">
        <f>F41</f>
        <v>1548</v>
      </c>
      <c r="G60" s="21">
        <f>G41</f>
        <v>1765</v>
      </c>
      <c r="H60" s="21">
        <f>H41</f>
        <v>1686.1136259999998</v>
      </c>
      <c r="I60" s="21">
        <f t="shared" ref="I60:R60" si="13">I41</f>
        <v>2043.3307139999999</v>
      </c>
      <c r="J60" s="21">
        <f t="shared" si="13"/>
        <v>2593.2854196999997</v>
      </c>
      <c r="K60" s="21">
        <f t="shared" si="13"/>
        <v>3121.4613509299998</v>
      </c>
      <c r="L60" s="21">
        <f t="shared" si="13"/>
        <v>4104.2599059929998</v>
      </c>
      <c r="M60" s="21" t="e">
        <f t="shared" si="13"/>
        <v>#DIV/0!</v>
      </c>
      <c r="N60" s="21" t="e">
        <f t="shared" si="13"/>
        <v>#DIV/0!</v>
      </c>
      <c r="O60" s="21" t="e">
        <f t="shared" si="13"/>
        <v>#DIV/0!</v>
      </c>
      <c r="P60" s="21" t="e">
        <f t="shared" si="13"/>
        <v>#DIV/0!</v>
      </c>
      <c r="Q60" s="21" t="e">
        <f t="shared" si="13"/>
        <v>#DIV/0!</v>
      </c>
      <c r="R60" s="21" t="e">
        <f t="shared" si="13"/>
        <v>#DIV/0!</v>
      </c>
    </row>
    <row r="61" spans="2:20">
      <c r="B61" s="71" t="s">
        <v>90</v>
      </c>
      <c r="C61" s="27"/>
      <c r="D61" s="115">
        <f t="shared" ref="D61:R61" si="14">D19</f>
        <v>5554.2894753699311</v>
      </c>
      <c r="E61" s="115">
        <f t="shared" si="14"/>
        <v>6071.9737018323494</v>
      </c>
      <c r="F61" s="115">
        <f t="shared" si="14"/>
        <v>6846.182472218059</v>
      </c>
      <c r="G61" s="115">
        <f t="shared" si="14"/>
        <v>6713.4757666503319</v>
      </c>
      <c r="H61" s="115">
        <f t="shared" si="14"/>
        <v>6260.6375921636454</v>
      </c>
      <c r="I61" s="115">
        <f t="shared" si="14"/>
        <v>7698.264788039296</v>
      </c>
      <c r="J61" s="115">
        <f t="shared" si="14"/>
        <v>9081.1811248508056</v>
      </c>
      <c r="K61" s="115">
        <f t="shared" si="14"/>
        <v>11146.419349637894</v>
      </c>
      <c r="L61" s="115">
        <f t="shared" si="14"/>
        <v>12233.081531268554</v>
      </c>
      <c r="M61" s="115" t="e">
        <f t="shared" si="14"/>
        <v>#DIV/0!</v>
      </c>
      <c r="N61" s="115" t="e">
        <f t="shared" si="14"/>
        <v>#DIV/0!</v>
      </c>
      <c r="O61" s="115" t="e">
        <f t="shared" si="14"/>
        <v>#DIV/0!</v>
      </c>
      <c r="P61" s="115" t="e">
        <f t="shared" si="14"/>
        <v>#DIV/0!</v>
      </c>
      <c r="Q61" s="115" t="e">
        <f t="shared" si="14"/>
        <v>#DIV/0!</v>
      </c>
      <c r="R61" s="115" t="e">
        <f t="shared" si="14"/>
        <v>#DIV/0!</v>
      </c>
    </row>
    <row r="62" spans="2:20">
      <c r="B62" s="62"/>
      <c r="D62" s="69"/>
      <c r="E62" s="69"/>
      <c r="F62" s="69"/>
      <c r="G62" s="69"/>
      <c r="H62" s="69"/>
      <c r="I62" s="69"/>
      <c r="J62" s="69"/>
      <c r="K62" s="69"/>
      <c r="L62" s="69"/>
      <c r="M62" s="69"/>
      <c r="N62" s="69"/>
      <c r="O62" s="69"/>
      <c r="P62" s="69"/>
      <c r="Q62" s="69"/>
      <c r="R62" s="69"/>
    </row>
    <row r="63" spans="2:20">
      <c r="B63" s="62"/>
      <c r="D63" s="69"/>
      <c r="E63" s="69"/>
      <c r="F63" s="69"/>
      <c r="G63" s="69"/>
      <c r="H63" s="69"/>
      <c r="I63" s="69"/>
      <c r="J63" s="69"/>
      <c r="K63" s="69"/>
      <c r="L63" s="69"/>
      <c r="M63" s="69"/>
      <c r="N63" s="69"/>
      <c r="O63" s="69"/>
      <c r="P63" s="69"/>
      <c r="Q63" s="69"/>
      <c r="R63" s="69"/>
    </row>
    <row r="64" spans="2:20">
      <c r="B64" s="46" t="s">
        <v>223</v>
      </c>
      <c r="D64" s="69"/>
      <c r="E64" s="69"/>
      <c r="F64" s="69"/>
      <c r="G64" s="69"/>
      <c r="H64" s="69"/>
      <c r="I64" s="69"/>
      <c r="J64" s="69"/>
      <c r="K64" s="69"/>
      <c r="L64" s="69"/>
      <c r="M64" s="69"/>
      <c r="N64" s="69"/>
      <c r="O64" s="69"/>
      <c r="P64" s="69"/>
      <c r="Q64" s="69"/>
      <c r="R64" s="69"/>
    </row>
    <row r="65" spans="2:18">
      <c r="B65" s="62" t="s">
        <v>89</v>
      </c>
      <c r="D65" s="21">
        <f>(D59)*Production!F10/Production!F29</f>
        <v>40.871654083733702</v>
      </c>
      <c r="E65" s="21">
        <f>(E59)*Production!G10/Production!G29</f>
        <v>39.091499026606094</v>
      </c>
      <c r="F65" s="21">
        <f>(F59)*Production!H10/Production!H29</f>
        <v>51.302325581395351</v>
      </c>
      <c r="G65" s="21">
        <f>(G59)*Production!I10/Production!I29</f>
        <v>40.638103919781223</v>
      </c>
      <c r="H65" s="21">
        <f>(H59)*Production!J10/Production!J29</f>
        <v>36.051301014084501</v>
      </c>
      <c r="I65" s="21">
        <f>(I59)*Production!K10/Production!K29</f>
        <v>40.33526697689345</v>
      </c>
      <c r="J65" s="21">
        <f>(J59)*Production!L10/Production!L29</f>
        <v>47.667999532971294</v>
      </c>
      <c r="K65" s="21">
        <f>(K59)*Production!M10/Production!M29</f>
        <v>55.470407543834376</v>
      </c>
      <c r="L65" s="21">
        <f>(L59)*Production!N10/Production!N29</f>
        <v>68.594664941784856</v>
      </c>
      <c r="M65" s="21" t="e">
        <f>(M59)*Production!O10/Production!O29</f>
        <v>#DIV/0!</v>
      </c>
      <c r="N65" s="21" t="e">
        <f>(N59)*Production!P10/Production!P29</f>
        <v>#DIV/0!</v>
      </c>
      <c r="O65" s="21" t="e">
        <f>(O59)*Production!Q10/Production!Q29</f>
        <v>#DIV/0!</v>
      </c>
      <c r="P65" s="21" t="e">
        <f>(P59)*Production!R10/Production!R29</f>
        <v>#DIV/0!</v>
      </c>
      <c r="Q65" s="21" t="e">
        <f>(Q59)*Production!S10/Production!S29</f>
        <v>#DIV/0!</v>
      </c>
      <c r="R65" s="21" t="e">
        <f>(R59)*Production!T10/Production!T29</f>
        <v>#DIV/0!</v>
      </c>
    </row>
    <row r="66" spans="2:18">
      <c r="B66" s="62" t="s">
        <v>93</v>
      </c>
      <c r="D66" s="116">
        <f>(D60)*Production!F12/Production!F32</f>
        <v>8.3733579556583031</v>
      </c>
      <c r="E66" s="116">
        <f>(E60)*Production!G12/Production!G32</f>
        <v>19.346920809520512</v>
      </c>
      <c r="F66" s="116">
        <f>(F60)*Production!H12/Production!H32</f>
        <v>17.270360728895501</v>
      </c>
      <c r="G66" s="116">
        <f>(G60)*Production!I12/Production!I32</f>
        <v>15.853293413173652</v>
      </c>
      <c r="H66" s="116">
        <f>(H60)*Production!J12/Production!J32</f>
        <v>17.701980325459317</v>
      </c>
      <c r="I66" s="116">
        <f>(I60)*Production!K12/Production!K32</f>
        <v>17.270015895196508</v>
      </c>
      <c r="J66" s="116">
        <f>(J60)*Production!L12/Production!L32</f>
        <v>21.31467468246575</v>
      </c>
      <c r="K66" s="116">
        <f>(K60)*Production!M12/Production!M32</f>
        <v>31.851646438061223</v>
      </c>
      <c r="L66" s="116">
        <f>(L60)*Production!N12/Production!N32</f>
        <v>32.177655084225798</v>
      </c>
      <c r="M66" s="116" t="e">
        <f>(M60)*Production!O12/Production!O32</f>
        <v>#DIV/0!</v>
      </c>
      <c r="N66" s="116" t="e">
        <f>(N60)*Production!P12/Production!P32</f>
        <v>#DIV/0!</v>
      </c>
      <c r="O66" s="116" t="e">
        <f>(O60)*Production!Q12/Production!Q32</f>
        <v>#DIV/0!</v>
      </c>
      <c r="P66" s="116" t="e">
        <f>(P60)*Production!R12/Production!R32</f>
        <v>#DIV/0!</v>
      </c>
      <c r="Q66" s="116" t="e">
        <f>(Q60)*Production!S12/Production!S32</f>
        <v>#DIV/0!</v>
      </c>
      <c r="R66" s="116" t="e">
        <f>(R60)*Production!T12/Production!T32</f>
        <v>#DIV/0!</v>
      </c>
    </row>
    <row r="67" spans="2:18">
      <c r="B67" s="71" t="s">
        <v>90</v>
      </c>
      <c r="C67" s="27"/>
      <c r="D67" s="117">
        <f>(D61)*Production!F11/Production!F30</f>
        <v>48.179738045356586</v>
      </c>
      <c r="E67" s="117">
        <f>(E61)*Production!G11/Production!G30</f>
        <v>58.970373158474068</v>
      </c>
      <c r="F67" s="117">
        <f>(F61)*Production!H11/Production!H30</f>
        <v>80.336817182500809</v>
      </c>
      <c r="G67" s="117">
        <f>(G61)*Production!I11/Production!I30</f>
        <v>55.676213997347205</v>
      </c>
      <c r="H67" s="117">
        <f>(H61)*Production!J11/Production!J30</f>
        <v>51.922602132816237</v>
      </c>
      <c r="I67" s="117">
        <f>(I61)*Production!K11/Production!K30</f>
        <v>69.790836102343377</v>
      </c>
      <c r="J67" s="117">
        <f>(J61)*Production!L11/Production!L30</f>
        <v>77.594912922642095</v>
      </c>
      <c r="K67" s="117">
        <f>(K61)*Production!M11/Production!M30</f>
        <v>90.453045625643441</v>
      </c>
      <c r="L67" s="117">
        <f>(L61)*Production!N11/Production!N30</f>
        <v>99.902455142925149</v>
      </c>
      <c r="M67" s="117" t="e">
        <f>(M61)*Production!O11/Production!O30</f>
        <v>#DIV/0!</v>
      </c>
      <c r="N67" s="117" t="e">
        <f>(N61)*Production!P11/Production!P30</f>
        <v>#DIV/0!</v>
      </c>
      <c r="O67" s="117" t="e">
        <f>(O61)*Production!Q11/Production!Q30</f>
        <v>#DIV/0!</v>
      </c>
      <c r="P67" s="117" t="e">
        <f>(P61)*Production!R11/Production!R30</f>
        <v>#DIV/0!</v>
      </c>
      <c r="Q67" s="117" t="e">
        <f>(Q61)*Production!S11/Production!S30</f>
        <v>#DIV/0!</v>
      </c>
      <c r="R67" s="117" t="e">
        <f>(R61)*Production!T11/Production!T30</f>
        <v>#DIV/0!</v>
      </c>
    </row>
    <row r="68" spans="2:18">
      <c r="B68" s="62"/>
      <c r="D68" s="69"/>
      <c r="E68" s="69"/>
      <c r="F68" s="69"/>
      <c r="G68" s="69"/>
      <c r="H68" s="69"/>
      <c r="I68" s="69"/>
      <c r="J68" s="69"/>
      <c r="K68" s="69"/>
      <c r="L68" s="69"/>
      <c r="M68" s="69"/>
      <c r="N68" s="69"/>
      <c r="O68" s="69"/>
      <c r="P68" s="69"/>
      <c r="Q68" s="69"/>
      <c r="R68" s="69"/>
    </row>
    <row r="69" spans="2:18">
      <c r="B69" s="46" t="s">
        <v>223</v>
      </c>
      <c r="D69" s="69"/>
      <c r="E69" s="69"/>
      <c r="F69" s="69"/>
      <c r="G69" s="69"/>
      <c r="H69" s="69"/>
      <c r="I69" s="69"/>
      <c r="J69" s="69"/>
      <c r="K69" s="69"/>
      <c r="L69" s="69"/>
      <c r="M69" s="69"/>
      <c r="N69" s="69"/>
      <c r="O69" s="69"/>
      <c r="P69" s="69"/>
      <c r="Q69" s="69"/>
      <c r="R69" s="69"/>
    </row>
    <row r="70" spans="2:18">
      <c r="B70" s="5" t="s">
        <v>89</v>
      </c>
      <c r="D70" s="69"/>
      <c r="E70" s="69"/>
      <c r="F70" s="69"/>
      <c r="G70" s="69"/>
      <c r="H70" s="69"/>
      <c r="I70" s="69"/>
      <c r="J70" s="69"/>
      <c r="K70" s="69"/>
      <c r="L70" s="69"/>
      <c r="M70" s="69"/>
      <c r="N70" s="69"/>
      <c r="O70" s="69"/>
      <c r="P70" s="69"/>
      <c r="Q70" s="69"/>
      <c r="R70" s="69"/>
    </row>
    <row r="71" spans="2:18">
      <c r="B71" s="547">
        <v>2014</v>
      </c>
      <c r="D71" s="118">
        <f t="shared" ref="D71:R71" si="15">$D$65</f>
        <v>40.871654083733702</v>
      </c>
      <c r="E71" s="118">
        <f t="shared" si="15"/>
        <v>40.871654083733702</v>
      </c>
      <c r="F71" s="118">
        <f t="shared" si="15"/>
        <v>40.871654083733702</v>
      </c>
      <c r="G71" s="118">
        <f t="shared" si="15"/>
        <v>40.871654083733702</v>
      </c>
      <c r="H71" s="118">
        <f t="shared" si="15"/>
        <v>40.871654083733702</v>
      </c>
      <c r="I71" s="118">
        <f t="shared" si="15"/>
        <v>40.871654083733702</v>
      </c>
      <c r="J71" s="118">
        <f t="shared" si="15"/>
        <v>40.871654083733702</v>
      </c>
      <c r="K71" s="118">
        <f t="shared" si="15"/>
        <v>40.871654083733702</v>
      </c>
      <c r="L71" s="118">
        <f t="shared" si="15"/>
        <v>40.871654083733702</v>
      </c>
      <c r="M71" s="118">
        <f t="shared" si="15"/>
        <v>40.871654083733702</v>
      </c>
      <c r="N71" s="118">
        <f t="shared" si="15"/>
        <v>40.871654083733702</v>
      </c>
      <c r="O71" s="118">
        <f t="shared" si="15"/>
        <v>40.871654083733702</v>
      </c>
      <c r="P71" s="118">
        <f t="shared" si="15"/>
        <v>40.871654083733702</v>
      </c>
      <c r="Q71" s="118">
        <f t="shared" si="15"/>
        <v>40.871654083733702</v>
      </c>
      <c r="R71" s="118">
        <f t="shared" si="15"/>
        <v>40.871654083733702</v>
      </c>
    </row>
    <row r="72" spans="2:18">
      <c r="B72" s="547">
        <v>2015</v>
      </c>
      <c r="D72" s="118">
        <f t="shared" ref="D72:R72" si="16">$E$65</f>
        <v>39.091499026606094</v>
      </c>
      <c r="E72" s="118">
        <f t="shared" si="16"/>
        <v>39.091499026606094</v>
      </c>
      <c r="F72" s="118">
        <f t="shared" si="16"/>
        <v>39.091499026606094</v>
      </c>
      <c r="G72" s="118">
        <f t="shared" si="16"/>
        <v>39.091499026606094</v>
      </c>
      <c r="H72" s="118">
        <f t="shared" si="16"/>
        <v>39.091499026606094</v>
      </c>
      <c r="I72" s="118">
        <f t="shared" si="16"/>
        <v>39.091499026606094</v>
      </c>
      <c r="J72" s="118">
        <f t="shared" si="16"/>
        <v>39.091499026606094</v>
      </c>
      <c r="K72" s="118">
        <f t="shared" si="16"/>
        <v>39.091499026606094</v>
      </c>
      <c r="L72" s="118">
        <f t="shared" si="16"/>
        <v>39.091499026606094</v>
      </c>
      <c r="M72" s="118">
        <f t="shared" si="16"/>
        <v>39.091499026606094</v>
      </c>
      <c r="N72" s="118">
        <f t="shared" si="16"/>
        <v>39.091499026606094</v>
      </c>
      <c r="O72" s="118">
        <f t="shared" si="16"/>
        <v>39.091499026606094</v>
      </c>
      <c r="P72" s="118">
        <f t="shared" si="16"/>
        <v>39.091499026606094</v>
      </c>
      <c r="Q72" s="118">
        <f t="shared" si="16"/>
        <v>39.091499026606094</v>
      </c>
      <c r="R72" s="118">
        <f t="shared" si="16"/>
        <v>39.091499026606094</v>
      </c>
    </row>
    <row r="73" spans="2:18">
      <c r="B73" s="547">
        <v>2016</v>
      </c>
      <c r="D73" s="118">
        <f t="shared" ref="D73:R73" si="17">$F$65</f>
        <v>51.302325581395351</v>
      </c>
      <c r="E73" s="118">
        <f t="shared" si="17"/>
        <v>51.302325581395351</v>
      </c>
      <c r="F73" s="118">
        <f t="shared" si="17"/>
        <v>51.302325581395351</v>
      </c>
      <c r="G73" s="118">
        <f t="shared" si="17"/>
        <v>51.302325581395351</v>
      </c>
      <c r="H73" s="118">
        <f t="shared" si="17"/>
        <v>51.302325581395351</v>
      </c>
      <c r="I73" s="118">
        <f t="shared" si="17"/>
        <v>51.302325581395351</v>
      </c>
      <c r="J73" s="118">
        <f t="shared" si="17"/>
        <v>51.302325581395351</v>
      </c>
      <c r="K73" s="118">
        <f t="shared" si="17"/>
        <v>51.302325581395351</v>
      </c>
      <c r="L73" s="118">
        <f t="shared" si="17"/>
        <v>51.302325581395351</v>
      </c>
      <c r="M73" s="118">
        <f t="shared" si="17"/>
        <v>51.302325581395351</v>
      </c>
      <c r="N73" s="118">
        <f t="shared" si="17"/>
        <v>51.302325581395351</v>
      </c>
      <c r="O73" s="118">
        <f t="shared" si="17"/>
        <v>51.302325581395351</v>
      </c>
      <c r="P73" s="118">
        <f t="shared" si="17"/>
        <v>51.302325581395351</v>
      </c>
      <c r="Q73" s="118">
        <f t="shared" si="17"/>
        <v>51.302325581395351</v>
      </c>
      <c r="R73" s="118">
        <f t="shared" si="17"/>
        <v>51.302325581395351</v>
      </c>
    </row>
    <row r="74" spans="2:18">
      <c r="B74" s="547">
        <v>2017</v>
      </c>
      <c r="D74" s="118">
        <f t="shared" ref="D74:R74" si="18">$G$65</f>
        <v>40.638103919781223</v>
      </c>
      <c r="E74" s="118">
        <f t="shared" si="18"/>
        <v>40.638103919781223</v>
      </c>
      <c r="F74" s="118">
        <f t="shared" si="18"/>
        <v>40.638103919781223</v>
      </c>
      <c r="G74" s="118">
        <f t="shared" si="18"/>
        <v>40.638103919781223</v>
      </c>
      <c r="H74" s="118">
        <f t="shared" si="18"/>
        <v>40.638103919781223</v>
      </c>
      <c r="I74" s="118">
        <f t="shared" si="18"/>
        <v>40.638103919781223</v>
      </c>
      <c r="J74" s="118">
        <f t="shared" si="18"/>
        <v>40.638103919781223</v>
      </c>
      <c r="K74" s="118">
        <f t="shared" si="18"/>
        <v>40.638103919781223</v>
      </c>
      <c r="L74" s="118">
        <f t="shared" si="18"/>
        <v>40.638103919781223</v>
      </c>
      <c r="M74" s="118">
        <f t="shared" si="18"/>
        <v>40.638103919781223</v>
      </c>
      <c r="N74" s="118">
        <f t="shared" si="18"/>
        <v>40.638103919781223</v>
      </c>
      <c r="O74" s="118">
        <f t="shared" si="18"/>
        <v>40.638103919781223</v>
      </c>
      <c r="P74" s="118">
        <f t="shared" si="18"/>
        <v>40.638103919781223</v>
      </c>
      <c r="Q74" s="118">
        <f t="shared" si="18"/>
        <v>40.638103919781223</v>
      </c>
      <c r="R74" s="118">
        <f t="shared" si="18"/>
        <v>40.638103919781223</v>
      </c>
    </row>
    <row r="75" spans="2:18">
      <c r="B75" s="547">
        <v>2018</v>
      </c>
      <c r="D75" s="118">
        <f t="shared" ref="D75:R75" si="19">$H$65</f>
        <v>36.051301014084501</v>
      </c>
      <c r="E75" s="118">
        <f t="shared" si="19"/>
        <v>36.051301014084501</v>
      </c>
      <c r="F75" s="118">
        <f t="shared" si="19"/>
        <v>36.051301014084501</v>
      </c>
      <c r="G75" s="118">
        <f t="shared" si="19"/>
        <v>36.051301014084501</v>
      </c>
      <c r="H75" s="118">
        <f>$H$65</f>
        <v>36.051301014084501</v>
      </c>
      <c r="I75" s="118">
        <f t="shared" si="19"/>
        <v>36.051301014084501</v>
      </c>
      <c r="J75" s="118">
        <f t="shared" si="19"/>
        <v>36.051301014084501</v>
      </c>
      <c r="K75" s="118">
        <f t="shared" si="19"/>
        <v>36.051301014084501</v>
      </c>
      <c r="L75" s="118">
        <f t="shared" si="19"/>
        <v>36.051301014084501</v>
      </c>
      <c r="M75" s="118">
        <f t="shared" si="19"/>
        <v>36.051301014084501</v>
      </c>
      <c r="N75" s="118">
        <f t="shared" si="19"/>
        <v>36.051301014084501</v>
      </c>
      <c r="O75" s="118">
        <f t="shared" si="19"/>
        <v>36.051301014084501</v>
      </c>
      <c r="P75" s="118">
        <f t="shared" si="19"/>
        <v>36.051301014084501</v>
      </c>
      <c r="Q75" s="118">
        <f t="shared" si="19"/>
        <v>36.051301014084501</v>
      </c>
      <c r="R75" s="118">
        <f t="shared" si="19"/>
        <v>36.051301014084501</v>
      </c>
    </row>
    <row r="76" spans="2:18">
      <c r="B76" s="547">
        <v>2019</v>
      </c>
      <c r="D76" s="118">
        <f t="shared" ref="D76:R76" si="20">$I$65</f>
        <v>40.33526697689345</v>
      </c>
      <c r="E76" s="118">
        <f t="shared" si="20"/>
        <v>40.33526697689345</v>
      </c>
      <c r="F76" s="118">
        <f t="shared" si="20"/>
        <v>40.33526697689345</v>
      </c>
      <c r="G76" s="118">
        <f t="shared" si="20"/>
        <v>40.33526697689345</v>
      </c>
      <c r="H76" s="118">
        <f t="shared" si="20"/>
        <v>40.33526697689345</v>
      </c>
      <c r="I76" s="118">
        <f t="shared" si="20"/>
        <v>40.33526697689345</v>
      </c>
      <c r="J76" s="118">
        <f t="shared" si="20"/>
        <v>40.33526697689345</v>
      </c>
      <c r="K76" s="118">
        <f t="shared" si="20"/>
        <v>40.33526697689345</v>
      </c>
      <c r="L76" s="118">
        <f t="shared" si="20"/>
        <v>40.33526697689345</v>
      </c>
      <c r="M76" s="118">
        <f t="shared" si="20"/>
        <v>40.33526697689345</v>
      </c>
      <c r="N76" s="118">
        <f t="shared" si="20"/>
        <v>40.33526697689345</v>
      </c>
      <c r="O76" s="118">
        <f t="shared" si="20"/>
        <v>40.33526697689345</v>
      </c>
      <c r="P76" s="118">
        <f t="shared" si="20"/>
        <v>40.33526697689345</v>
      </c>
      <c r="Q76" s="118">
        <f t="shared" si="20"/>
        <v>40.33526697689345</v>
      </c>
      <c r="R76" s="118">
        <f t="shared" si="20"/>
        <v>40.33526697689345</v>
      </c>
    </row>
    <row r="77" spans="2:18">
      <c r="B77" s="547">
        <v>2020</v>
      </c>
      <c r="D77" s="118">
        <f t="shared" ref="D77:R77" si="21">$J$65</f>
        <v>47.667999532971294</v>
      </c>
      <c r="E77" s="118">
        <f t="shared" si="21"/>
        <v>47.667999532971294</v>
      </c>
      <c r="F77" s="118">
        <f t="shared" si="21"/>
        <v>47.667999532971294</v>
      </c>
      <c r="G77" s="118">
        <f t="shared" si="21"/>
        <v>47.667999532971294</v>
      </c>
      <c r="H77" s="118">
        <f t="shared" si="21"/>
        <v>47.667999532971294</v>
      </c>
      <c r="I77" s="118">
        <f t="shared" si="21"/>
        <v>47.667999532971294</v>
      </c>
      <c r="J77" s="118">
        <f t="shared" si="21"/>
        <v>47.667999532971294</v>
      </c>
      <c r="K77" s="118">
        <f t="shared" si="21"/>
        <v>47.667999532971294</v>
      </c>
      <c r="L77" s="118">
        <f t="shared" si="21"/>
        <v>47.667999532971294</v>
      </c>
      <c r="M77" s="118">
        <f t="shared" si="21"/>
        <v>47.667999532971294</v>
      </c>
      <c r="N77" s="118">
        <f t="shared" si="21"/>
        <v>47.667999532971294</v>
      </c>
      <c r="O77" s="118">
        <f t="shared" si="21"/>
        <v>47.667999532971294</v>
      </c>
      <c r="P77" s="118">
        <f t="shared" si="21"/>
        <v>47.667999532971294</v>
      </c>
      <c r="Q77" s="118">
        <f t="shared" si="21"/>
        <v>47.667999532971294</v>
      </c>
      <c r="R77" s="118">
        <f t="shared" si="21"/>
        <v>47.667999532971294</v>
      </c>
    </row>
    <row r="78" spans="2:18">
      <c r="B78" s="547">
        <v>2021</v>
      </c>
      <c r="D78" s="118">
        <f t="shared" ref="D78:R78" si="22">$K$65</f>
        <v>55.470407543834376</v>
      </c>
      <c r="E78" s="118">
        <f t="shared" si="22"/>
        <v>55.470407543834376</v>
      </c>
      <c r="F78" s="118">
        <f t="shared" si="22"/>
        <v>55.470407543834376</v>
      </c>
      <c r="G78" s="118">
        <f t="shared" si="22"/>
        <v>55.470407543834376</v>
      </c>
      <c r="H78" s="118">
        <f t="shared" si="22"/>
        <v>55.470407543834376</v>
      </c>
      <c r="I78" s="118">
        <f t="shared" si="22"/>
        <v>55.470407543834376</v>
      </c>
      <c r="J78" s="118">
        <f t="shared" si="22"/>
        <v>55.470407543834376</v>
      </c>
      <c r="K78" s="118">
        <f t="shared" si="22"/>
        <v>55.470407543834376</v>
      </c>
      <c r="L78" s="118">
        <f t="shared" si="22"/>
        <v>55.470407543834376</v>
      </c>
      <c r="M78" s="118">
        <f t="shared" si="22"/>
        <v>55.470407543834376</v>
      </c>
      <c r="N78" s="118">
        <f t="shared" si="22"/>
        <v>55.470407543834376</v>
      </c>
      <c r="O78" s="118">
        <f t="shared" si="22"/>
        <v>55.470407543834376</v>
      </c>
      <c r="P78" s="118">
        <f t="shared" si="22"/>
        <v>55.470407543834376</v>
      </c>
      <c r="Q78" s="118">
        <f t="shared" si="22"/>
        <v>55.470407543834376</v>
      </c>
      <c r="R78" s="118">
        <f t="shared" si="22"/>
        <v>55.470407543834376</v>
      </c>
    </row>
    <row r="79" spans="2:18">
      <c r="B79" s="547">
        <v>2022</v>
      </c>
      <c r="D79" s="118">
        <f t="shared" ref="D79:R79" si="23">$L$65</f>
        <v>68.594664941784856</v>
      </c>
      <c r="E79" s="118">
        <f t="shared" si="23"/>
        <v>68.594664941784856</v>
      </c>
      <c r="F79" s="118">
        <f t="shared" si="23"/>
        <v>68.594664941784856</v>
      </c>
      <c r="G79" s="118">
        <f t="shared" si="23"/>
        <v>68.594664941784856</v>
      </c>
      <c r="H79" s="118">
        <f t="shared" si="23"/>
        <v>68.594664941784856</v>
      </c>
      <c r="I79" s="118">
        <f t="shared" si="23"/>
        <v>68.594664941784856</v>
      </c>
      <c r="J79" s="118">
        <f t="shared" si="23"/>
        <v>68.594664941784856</v>
      </c>
      <c r="K79" s="118">
        <f t="shared" si="23"/>
        <v>68.594664941784856</v>
      </c>
      <c r="L79" s="118">
        <f t="shared" si="23"/>
        <v>68.594664941784856</v>
      </c>
      <c r="M79" s="118">
        <f t="shared" si="23"/>
        <v>68.594664941784856</v>
      </c>
      <c r="N79" s="118">
        <f t="shared" si="23"/>
        <v>68.594664941784856</v>
      </c>
      <c r="O79" s="118">
        <f t="shared" si="23"/>
        <v>68.594664941784856</v>
      </c>
      <c r="P79" s="118">
        <f t="shared" si="23"/>
        <v>68.594664941784856</v>
      </c>
      <c r="Q79" s="118">
        <f t="shared" si="23"/>
        <v>68.594664941784856</v>
      </c>
      <c r="R79" s="118">
        <f t="shared" si="23"/>
        <v>68.594664941784856</v>
      </c>
    </row>
    <row r="80" spans="2:18">
      <c r="B80" s="547">
        <v>2023</v>
      </c>
      <c r="D80" s="118" t="e">
        <f t="shared" ref="D80:R80" si="24">$M$65</f>
        <v>#DIV/0!</v>
      </c>
      <c r="E80" s="118" t="e">
        <f t="shared" si="24"/>
        <v>#DIV/0!</v>
      </c>
      <c r="F80" s="118" t="e">
        <f t="shared" si="24"/>
        <v>#DIV/0!</v>
      </c>
      <c r="G80" s="118" t="e">
        <f t="shared" si="24"/>
        <v>#DIV/0!</v>
      </c>
      <c r="H80" s="118" t="e">
        <f t="shared" si="24"/>
        <v>#DIV/0!</v>
      </c>
      <c r="I80" s="118" t="e">
        <f t="shared" si="24"/>
        <v>#DIV/0!</v>
      </c>
      <c r="J80" s="118" t="e">
        <f t="shared" si="24"/>
        <v>#DIV/0!</v>
      </c>
      <c r="K80" s="118" t="e">
        <f t="shared" si="24"/>
        <v>#DIV/0!</v>
      </c>
      <c r="L80" s="118" t="e">
        <f t="shared" si="24"/>
        <v>#DIV/0!</v>
      </c>
      <c r="M80" s="118" t="e">
        <f t="shared" si="24"/>
        <v>#DIV/0!</v>
      </c>
      <c r="N80" s="118" t="e">
        <f t="shared" si="24"/>
        <v>#DIV/0!</v>
      </c>
      <c r="O80" s="118" t="e">
        <f t="shared" si="24"/>
        <v>#DIV/0!</v>
      </c>
      <c r="P80" s="118" t="e">
        <f t="shared" si="24"/>
        <v>#DIV/0!</v>
      </c>
      <c r="Q80" s="118" t="e">
        <f t="shared" si="24"/>
        <v>#DIV/0!</v>
      </c>
      <c r="R80" s="118" t="e">
        <f t="shared" si="24"/>
        <v>#DIV/0!</v>
      </c>
    </row>
    <row r="81" spans="2:18">
      <c r="B81" s="547">
        <v>2024</v>
      </c>
      <c r="D81" s="118" t="e">
        <f>$N$65</f>
        <v>#DIV/0!</v>
      </c>
      <c r="E81" s="118" t="e">
        <f t="shared" ref="E81:R81" si="25">$N$65</f>
        <v>#DIV/0!</v>
      </c>
      <c r="F81" s="118" t="e">
        <f t="shared" si="25"/>
        <v>#DIV/0!</v>
      </c>
      <c r="G81" s="118" t="e">
        <f t="shared" si="25"/>
        <v>#DIV/0!</v>
      </c>
      <c r="H81" s="118" t="e">
        <f t="shared" si="25"/>
        <v>#DIV/0!</v>
      </c>
      <c r="I81" s="118" t="e">
        <f t="shared" si="25"/>
        <v>#DIV/0!</v>
      </c>
      <c r="J81" s="118" t="e">
        <f t="shared" si="25"/>
        <v>#DIV/0!</v>
      </c>
      <c r="K81" s="118" t="e">
        <f t="shared" si="25"/>
        <v>#DIV/0!</v>
      </c>
      <c r="L81" s="118" t="e">
        <f t="shared" si="25"/>
        <v>#DIV/0!</v>
      </c>
      <c r="M81" s="118" t="e">
        <f t="shared" si="25"/>
        <v>#DIV/0!</v>
      </c>
      <c r="N81" s="118" t="e">
        <f t="shared" si="25"/>
        <v>#DIV/0!</v>
      </c>
      <c r="O81" s="118" t="e">
        <f t="shared" si="25"/>
        <v>#DIV/0!</v>
      </c>
      <c r="P81" s="118" t="e">
        <f t="shared" si="25"/>
        <v>#DIV/0!</v>
      </c>
      <c r="Q81" s="118" t="e">
        <f t="shared" si="25"/>
        <v>#DIV/0!</v>
      </c>
      <c r="R81" s="118" t="e">
        <f t="shared" si="25"/>
        <v>#DIV/0!</v>
      </c>
    </row>
    <row r="82" spans="2:18">
      <c r="B82" s="547">
        <v>2025</v>
      </c>
      <c r="D82" s="118" t="e">
        <f>$O$65</f>
        <v>#DIV/0!</v>
      </c>
      <c r="E82" s="118" t="e">
        <f t="shared" ref="E82:R82" si="26">$O$65</f>
        <v>#DIV/0!</v>
      </c>
      <c r="F82" s="118" t="e">
        <f t="shared" si="26"/>
        <v>#DIV/0!</v>
      </c>
      <c r="G82" s="118" t="e">
        <f t="shared" si="26"/>
        <v>#DIV/0!</v>
      </c>
      <c r="H82" s="118" t="e">
        <f t="shared" si="26"/>
        <v>#DIV/0!</v>
      </c>
      <c r="I82" s="118" t="e">
        <f t="shared" si="26"/>
        <v>#DIV/0!</v>
      </c>
      <c r="J82" s="118" t="e">
        <f t="shared" si="26"/>
        <v>#DIV/0!</v>
      </c>
      <c r="K82" s="118" t="e">
        <f t="shared" si="26"/>
        <v>#DIV/0!</v>
      </c>
      <c r="L82" s="118" t="e">
        <f t="shared" si="26"/>
        <v>#DIV/0!</v>
      </c>
      <c r="M82" s="118" t="e">
        <f t="shared" si="26"/>
        <v>#DIV/0!</v>
      </c>
      <c r="N82" s="118" t="e">
        <f t="shared" si="26"/>
        <v>#DIV/0!</v>
      </c>
      <c r="O82" s="118" t="e">
        <f t="shared" si="26"/>
        <v>#DIV/0!</v>
      </c>
      <c r="P82" s="118" t="e">
        <f t="shared" si="26"/>
        <v>#DIV/0!</v>
      </c>
      <c r="Q82" s="118" t="e">
        <f t="shared" si="26"/>
        <v>#DIV/0!</v>
      </c>
      <c r="R82" s="118" t="e">
        <f t="shared" si="26"/>
        <v>#DIV/0!</v>
      </c>
    </row>
    <row r="83" spans="2:18">
      <c r="B83" s="547">
        <v>2026</v>
      </c>
      <c r="D83" s="118" t="e">
        <f>$P$65</f>
        <v>#DIV/0!</v>
      </c>
      <c r="E83" s="118" t="e">
        <f t="shared" ref="E83:R83" si="27">$P$65</f>
        <v>#DIV/0!</v>
      </c>
      <c r="F83" s="118" t="e">
        <f t="shared" si="27"/>
        <v>#DIV/0!</v>
      </c>
      <c r="G83" s="118" t="e">
        <f t="shared" si="27"/>
        <v>#DIV/0!</v>
      </c>
      <c r="H83" s="118" t="e">
        <f t="shared" si="27"/>
        <v>#DIV/0!</v>
      </c>
      <c r="I83" s="118" t="e">
        <f t="shared" si="27"/>
        <v>#DIV/0!</v>
      </c>
      <c r="J83" s="118" t="e">
        <f t="shared" si="27"/>
        <v>#DIV/0!</v>
      </c>
      <c r="K83" s="118" t="e">
        <f t="shared" si="27"/>
        <v>#DIV/0!</v>
      </c>
      <c r="L83" s="118" t="e">
        <f t="shared" si="27"/>
        <v>#DIV/0!</v>
      </c>
      <c r="M83" s="118" t="e">
        <f t="shared" si="27"/>
        <v>#DIV/0!</v>
      </c>
      <c r="N83" s="118" t="e">
        <f t="shared" si="27"/>
        <v>#DIV/0!</v>
      </c>
      <c r="O83" s="118" t="e">
        <f t="shared" si="27"/>
        <v>#DIV/0!</v>
      </c>
      <c r="P83" s="118" t="e">
        <f t="shared" si="27"/>
        <v>#DIV/0!</v>
      </c>
      <c r="Q83" s="118" t="e">
        <f t="shared" si="27"/>
        <v>#DIV/0!</v>
      </c>
      <c r="R83" s="118" t="e">
        <f t="shared" si="27"/>
        <v>#DIV/0!</v>
      </c>
    </row>
    <row r="84" spans="2:18">
      <c r="B84" s="547">
        <v>2027</v>
      </c>
      <c r="D84" s="118" t="e">
        <f>$Q$65</f>
        <v>#DIV/0!</v>
      </c>
      <c r="E84" s="118" t="e">
        <f t="shared" ref="E84:R84" si="28">$Q$65</f>
        <v>#DIV/0!</v>
      </c>
      <c r="F84" s="118" t="e">
        <f t="shared" si="28"/>
        <v>#DIV/0!</v>
      </c>
      <c r="G84" s="118" t="e">
        <f t="shared" si="28"/>
        <v>#DIV/0!</v>
      </c>
      <c r="H84" s="118" t="e">
        <f t="shared" si="28"/>
        <v>#DIV/0!</v>
      </c>
      <c r="I84" s="118" t="e">
        <f t="shared" si="28"/>
        <v>#DIV/0!</v>
      </c>
      <c r="J84" s="118" t="e">
        <f t="shared" si="28"/>
        <v>#DIV/0!</v>
      </c>
      <c r="K84" s="118" t="e">
        <f t="shared" si="28"/>
        <v>#DIV/0!</v>
      </c>
      <c r="L84" s="118" t="e">
        <f t="shared" si="28"/>
        <v>#DIV/0!</v>
      </c>
      <c r="M84" s="118" t="e">
        <f t="shared" si="28"/>
        <v>#DIV/0!</v>
      </c>
      <c r="N84" s="118" t="e">
        <f t="shared" si="28"/>
        <v>#DIV/0!</v>
      </c>
      <c r="O84" s="118" t="e">
        <f t="shared" si="28"/>
        <v>#DIV/0!</v>
      </c>
      <c r="P84" s="118" t="e">
        <f t="shared" si="28"/>
        <v>#DIV/0!</v>
      </c>
      <c r="Q84" s="118" t="e">
        <f t="shared" si="28"/>
        <v>#DIV/0!</v>
      </c>
      <c r="R84" s="118" t="e">
        <f t="shared" si="28"/>
        <v>#DIV/0!</v>
      </c>
    </row>
    <row r="85" spans="2:18">
      <c r="B85" s="547">
        <v>2028</v>
      </c>
      <c r="D85" s="118" t="e">
        <f>$R$65</f>
        <v>#DIV/0!</v>
      </c>
      <c r="E85" s="118" t="e">
        <f t="shared" ref="E85:R85" si="29">$R$65</f>
        <v>#DIV/0!</v>
      </c>
      <c r="F85" s="118" t="e">
        <f t="shared" si="29"/>
        <v>#DIV/0!</v>
      </c>
      <c r="G85" s="118" t="e">
        <f t="shared" si="29"/>
        <v>#DIV/0!</v>
      </c>
      <c r="H85" s="118" t="e">
        <f t="shared" si="29"/>
        <v>#DIV/0!</v>
      </c>
      <c r="I85" s="118" t="e">
        <f t="shared" si="29"/>
        <v>#DIV/0!</v>
      </c>
      <c r="J85" s="118" t="e">
        <f t="shared" si="29"/>
        <v>#DIV/0!</v>
      </c>
      <c r="K85" s="118" t="e">
        <f t="shared" si="29"/>
        <v>#DIV/0!</v>
      </c>
      <c r="L85" s="118" t="e">
        <f t="shared" si="29"/>
        <v>#DIV/0!</v>
      </c>
      <c r="M85" s="118" t="e">
        <f t="shared" si="29"/>
        <v>#DIV/0!</v>
      </c>
      <c r="N85" s="118" t="e">
        <f t="shared" si="29"/>
        <v>#DIV/0!</v>
      </c>
      <c r="O85" s="118" t="e">
        <f t="shared" si="29"/>
        <v>#DIV/0!</v>
      </c>
      <c r="P85" s="118" t="e">
        <f t="shared" si="29"/>
        <v>#DIV/0!</v>
      </c>
      <c r="Q85" s="118" t="e">
        <f t="shared" si="29"/>
        <v>#DIV/0!</v>
      </c>
      <c r="R85" s="118" t="e">
        <f t="shared" si="29"/>
        <v>#DIV/0!</v>
      </c>
    </row>
    <row r="86" spans="2:18">
      <c r="B86" s="547">
        <v>2029</v>
      </c>
      <c r="D86" s="118"/>
      <c r="E86" s="118"/>
      <c r="F86" s="118"/>
      <c r="G86" s="118"/>
      <c r="H86" s="118"/>
      <c r="I86" s="118"/>
      <c r="J86" s="118"/>
      <c r="K86" s="118"/>
      <c r="L86" s="118"/>
      <c r="M86" s="118"/>
      <c r="N86" s="118"/>
      <c r="O86" s="118"/>
      <c r="P86" s="118"/>
      <c r="Q86" s="118"/>
      <c r="R86" s="118"/>
    </row>
    <row r="87" spans="2:18">
      <c r="B87" s="62"/>
      <c r="D87" s="69"/>
      <c r="E87" s="69"/>
      <c r="F87" s="69"/>
      <c r="G87" s="69"/>
      <c r="H87" s="69"/>
      <c r="I87" s="69"/>
      <c r="J87" s="69"/>
      <c r="K87" s="69"/>
      <c r="L87" s="69"/>
      <c r="M87" s="69"/>
      <c r="N87" s="69"/>
      <c r="O87" s="69"/>
      <c r="P87" s="69"/>
      <c r="Q87" s="69"/>
      <c r="R87" s="69"/>
    </row>
    <row r="88" spans="2:18">
      <c r="B88" s="46" t="s">
        <v>114</v>
      </c>
      <c r="D88" s="69"/>
      <c r="E88" s="69"/>
      <c r="F88" s="69"/>
      <c r="G88" s="69"/>
      <c r="H88" s="69"/>
      <c r="I88" s="69"/>
      <c r="J88" s="69"/>
      <c r="K88" s="69"/>
      <c r="L88" s="69"/>
      <c r="M88" s="69"/>
      <c r="N88" s="69"/>
      <c r="O88" s="69"/>
      <c r="P88" s="69"/>
      <c r="Q88" s="69"/>
      <c r="R88" s="69"/>
    </row>
    <row r="89" spans="2:18">
      <c r="B89" s="547">
        <v>2014</v>
      </c>
      <c r="D89" s="118">
        <f t="shared" ref="D89:R89" si="30">$D$67</f>
        <v>48.179738045356586</v>
      </c>
      <c r="E89" s="118">
        <f t="shared" si="30"/>
        <v>48.179738045356586</v>
      </c>
      <c r="F89" s="118">
        <f t="shared" si="30"/>
        <v>48.179738045356586</v>
      </c>
      <c r="G89" s="118">
        <f t="shared" si="30"/>
        <v>48.179738045356586</v>
      </c>
      <c r="H89" s="118">
        <f t="shared" si="30"/>
        <v>48.179738045356586</v>
      </c>
      <c r="I89" s="118">
        <f t="shared" si="30"/>
        <v>48.179738045356586</v>
      </c>
      <c r="J89" s="118">
        <f t="shared" si="30"/>
        <v>48.179738045356586</v>
      </c>
      <c r="K89" s="118">
        <f t="shared" si="30"/>
        <v>48.179738045356586</v>
      </c>
      <c r="L89" s="118">
        <f t="shared" si="30"/>
        <v>48.179738045356586</v>
      </c>
      <c r="M89" s="118">
        <f t="shared" si="30"/>
        <v>48.179738045356586</v>
      </c>
      <c r="N89" s="118">
        <f t="shared" si="30"/>
        <v>48.179738045356586</v>
      </c>
      <c r="O89" s="118">
        <f t="shared" si="30"/>
        <v>48.179738045356586</v>
      </c>
      <c r="P89" s="118">
        <f t="shared" si="30"/>
        <v>48.179738045356586</v>
      </c>
      <c r="Q89" s="118">
        <f t="shared" si="30"/>
        <v>48.179738045356586</v>
      </c>
      <c r="R89" s="118">
        <f t="shared" si="30"/>
        <v>48.179738045356586</v>
      </c>
    </row>
    <row r="90" spans="2:18">
      <c r="B90" s="547">
        <v>2015</v>
      </c>
      <c r="D90" s="118">
        <f t="shared" ref="D90:R90" si="31">$E$67</f>
        <v>58.970373158474068</v>
      </c>
      <c r="E90" s="118">
        <f t="shared" si="31"/>
        <v>58.970373158474068</v>
      </c>
      <c r="F90" s="118">
        <f t="shared" si="31"/>
        <v>58.970373158474068</v>
      </c>
      <c r="G90" s="118">
        <f t="shared" si="31"/>
        <v>58.970373158474068</v>
      </c>
      <c r="H90" s="118">
        <f t="shared" si="31"/>
        <v>58.970373158474068</v>
      </c>
      <c r="I90" s="118">
        <f t="shared" si="31"/>
        <v>58.970373158474068</v>
      </c>
      <c r="J90" s="118">
        <f t="shared" si="31"/>
        <v>58.970373158474068</v>
      </c>
      <c r="K90" s="118">
        <f t="shared" si="31"/>
        <v>58.970373158474068</v>
      </c>
      <c r="L90" s="118">
        <f t="shared" si="31"/>
        <v>58.970373158474068</v>
      </c>
      <c r="M90" s="118">
        <f t="shared" si="31"/>
        <v>58.970373158474068</v>
      </c>
      <c r="N90" s="118">
        <f t="shared" si="31"/>
        <v>58.970373158474068</v>
      </c>
      <c r="O90" s="118">
        <f t="shared" si="31"/>
        <v>58.970373158474068</v>
      </c>
      <c r="P90" s="118">
        <f t="shared" si="31"/>
        <v>58.970373158474068</v>
      </c>
      <c r="Q90" s="118">
        <f t="shared" si="31"/>
        <v>58.970373158474068</v>
      </c>
      <c r="R90" s="118">
        <f t="shared" si="31"/>
        <v>58.970373158474068</v>
      </c>
    </row>
    <row r="91" spans="2:18">
      <c r="B91" s="547">
        <v>2016</v>
      </c>
      <c r="D91" s="118">
        <f t="shared" ref="D91:R91" si="32">$F$67</f>
        <v>80.336817182500809</v>
      </c>
      <c r="E91" s="118">
        <f t="shared" si="32"/>
        <v>80.336817182500809</v>
      </c>
      <c r="F91" s="118">
        <f t="shared" si="32"/>
        <v>80.336817182500809</v>
      </c>
      <c r="G91" s="118">
        <f t="shared" si="32"/>
        <v>80.336817182500809</v>
      </c>
      <c r="H91" s="118">
        <f t="shared" si="32"/>
        <v>80.336817182500809</v>
      </c>
      <c r="I91" s="118">
        <f t="shared" si="32"/>
        <v>80.336817182500809</v>
      </c>
      <c r="J91" s="118">
        <f t="shared" si="32"/>
        <v>80.336817182500809</v>
      </c>
      <c r="K91" s="118">
        <f t="shared" si="32"/>
        <v>80.336817182500809</v>
      </c>
      <c r="L91" s="118">
        <f t="shared" si="32"/>
        <v>80.336817182500809</v>
      </c>
      <c r="M91" s="118">
        <f t="shared" si="32"/>
        <v>80.336817182500809</v>
      </c>
      <c r="N91" s="118">
        <f t="shared" si="32"/>
        <v>80.336817182500809</v>
      </c>
      <c r="O91" s="118">
        <f t="shared" si="32"/>
        <v>80.336817182500809</v>
      </c>
      <c r="P91" s="118">
        <f t="shared" si="32"/>
        <v>80.336817182500809</v>
      </c>
      <c r="Q91" s="118">
        <f t="shared" si="32"/>
        <v>80.336817182500809</v>
      </c>
      <c r="R91" s="118">
        <f t="shared" si="32"/>
        <v>80.336817182500809</v>
      </c>
    </row>
    <row r="92" spans="2:18">
      <c r="B92" s="547">
        <v>2017</v>
      </c>
      <c r="D92" s="118">
        <f t="shared" ref="D92:R92" si="33">$G$67</f>
        <v>55.676213997347205</v>
      </c>
      <c r="E92" s="118">
        <f t="shared" si="33"/>
        <v>55.676213997347205</v>
      </c>
      <c r="F92" s="118">
        <f t="shared" si="33"/>
        <v>55.676213997347205</v>
      </c>
      <c r="G92" s="118">
        <f t="shared" si="33"/>
        <v>55.676213997347205</v>
      </c>
      <c r="H92" s="118">
        <f t="shared" si="33"/>
        <v>55.676213997347205</v>
      </c>
      <c r="I92" s="118">
        <f t="shared" si="33"/>
        <v>55.676213997347205</v>
      </c>
      <c r="J92" s="118">
        <f t="shared" si="33"/>
        <v>55.676213997347205</v>
      </c>
      <c r="K92" s="118">
        <f t="shared" si="33"/>
        <v>55.676213997347205</v>
      </c>
      <c r="L92" s="118">
        <f t="shared" si="33"/>
        <v>55.676213997347205</v>
      </c>
      <c r="M92" s="118">
        <f t="shared" si="33"/>
        <v>55.676213997347205</v>
      </c>
      <c r="N92" s="118">
        <f t="shared" si="33"/>
        <v>55.676213997347205</v>
      </c>
      <c r="O92" s="118">
        <f t="shared" si="33"/>
        <v>55.676213997347205</v>
      </c>
      <c r="P92" s="118">
        <f t="shared" si="33"/>
        <v>55.676213997347205</v>
      </c>
      <c r="Q92" s="118">
        <f t="shared" si="33"/>
        <v>55.676213997347205</v>
      </c>
      <c r="R92" s="118">
        <f t="shared" si="33"/>
        <v>55.676213997347205</v>
      </c>
    </row>
    <row r="93" spans="2:18">
      <c r="B93" s="547">
        <v>2018</v>
      </c>
      <c r="D93" s="118">
        <f t="shared" ref="D93:R93" si="34">$H$67</f>
        <v>51.922602132816237</v>
      </c>
      <c r="E93" s="118">
        <f t="shared" si="34"/>
        <v>51.922602132816237</v>
      </c>
      <c r="F93" s="118">
        <f t="shared" si="34"/>
        <v>51.922602132816237</v>
      </c>
      <c r="G93" s="118">
        <f t="shared" si="34"/>
        <v>51.922602132816237</v>
      </c>
      <c r="H93" s="118">
        <f t="shared" si="34"/>
        <v>51.922602132816237</v>
      </c>
      <c r="I93" s="118">
        <f t="shared" si="34"/>
        <v>51.922602132816237</v>
      </c>
      <c r="J93" s="118">
        <f t="shared" si="34"/>
        <v>51.922602132816237</v>
      </c>
      <c r="K93" s="118">
        <f t="shared" si="34"/>
        <v>51.922602132816237</v>
      </c>
      <c r="L93" s="118">
        <f t="shared" si="34"/>
        <v>51.922602132816237</v>
      </c>
      <c r="M93" s="118">
        <f t="shared" si="34"/>
        <v>51.922602132816237</v>
      </c>
      <c r="N93" s="118">
        <f t="shared" si="34"/>
        <v>51.922602132816237</v>
      </c>
      <c r="O93" s="118">
        <f t="shared" si="34"/>
        <v>51.922602132816237</v>
      </c>
      <c r="P93" s="118">
        <f t="shared" si="34"/>
        <v>51.922602132816237</v>
      </c>
      <c r="Q93" s="118">
        <f t="shared" si="34"/>
        <v>51.922602132816237</v>
      </c>
      <c r="R93" s="118">
        <f t="shared" si="34"/>
        <v>51.922602132816237</v>
      </c>
    </row>
    <row r="94" spans="2:18">
      <c r="B94" s="547">
        <v>2019</v>
      </c>
      <c r="D94" s="118">
        <f t="shared" ref="D94:R94" si="35">$I$67</f>
        <v>69.790836102343377</v>
      </c>
      <c r="E94" s="118">
        <f t="shared" si="35"/>
        <v>69.790836102343377</v>
      </c>
      <c r="F94" s="118">
        <f t="shared" si="35"/>
        <v>69.790836102343377</v>
      </c>
      <c r="G94" s="118">
        <f t="shared" si="35"/>
        <v>69.790836102343377</v>
      </c>
      <c r="H94" s="118">
        <f>$I$67</f>
        <v>69.790836102343377</v>
      </c>
      <c r="I94" s="118">
        <f t="shared" si="35"/>
        <v>69.790836102343377</v>
      </c>
      <c r="J94" s="118">
        <f t="shared" si="35"/>
        <v>69.790836102343377</v>
      </c>
      <c r="K94" s="118">
        <f t="shared" si="35"/>
        <v>69.790836102343377</v>
      </c>
      <c r="L94" s="118">
        <f t="shared" si="35"/>
        <v>69.790836102343377</v>
      </c>
      <c r="M94" s="118">
        <f t="shared" si="35"/>
        <v>69.790836102343377</v>
      </c>
      <c r="N94" s="118">
        <f t="shared" si="35"/>
        <v>69.790836102343377</v>
      </c>
      <c r="O94" s="118">
        <f t="shared" si="35"/>
        <v>69.790836102343377</v>
      </c>
      <c r="P94" s="118">
        <f t="shared" si="35"/>
        <v>69.790836102343377</v>
      </c>
      <c r="Q94" s="118">
        <f t="shared" si="35"/>
        <v>69.790836102343377</v>
      </c>
      <c r="R94" s="118">
        <f t="shared" si="35"/>
        <v>69.790836102343377</v>
      </c>
    </row>
    <row r="95" spans="2:18">
      <c r="B95" s="547">
        <v>2020</v>
      </c>
      <c r="D95" s="118">
        <f t="shared" ref="D95:R95" si="36">$J$67</f>
        <v>77.594912922642095</v>
      </c>
      <c r="E95" s="118">
        <f t="shared" si="36"/>
        <v>77.594912922642095</v>
      </c>
      <c r="F95" s="118">
        <f t="shared" si="36"/>
        <v>77.594912922642095</v>
      </c>
      <c r="G95" s="118">
        <f t="shared" si="36"/>
        <v>77.594912922642095</v>
      </c>
      <c r="H95" s="118">
        <f t="shared" si="36"/>
        <v>77.594912922642095</v>
      </c>
      <c r="I95" s="118">
        <f>$J$67</f>
        <v>77.594912922642095</v>
      </c>
      <c r="J95" s="118">
        <f t="shared" si="36"/>
        <v>77.594912922642095</v>
      </c>
      <c r="K95" s="118">
        <f t="shared" si="36"/>
        <v>77.594912922642095</v>
      </c>
      <c r="L95" s="118">
        <f t="shared" si="36"/>
        <v>77.594912922642095</v>
      </c>
      <c r="M95" s="118">
        <f t="shared" si="36"/>
        <v>77.594912922642095</v>
      </c>
      <c r="N95" s="118">
        <f t="shared" si="36"/>
        <v>77.594912922642095</v>
      </c>
      <c r="O95" s="118">
        <f t="shared" si="36"/>
        <v>77.594912922642095</v>
      </c>
      <c r="P95" s="118">
        <f t="shared" si="36"/>
        <v>77.594912922642095</v>
      </c>
      <c r="Q95" s="118">
        <f t="shared" si="36"/>
        <v>77.594912922642095</v>
      </c>
      <c r="R95" s="118">
        <f t="shared" si="36"/>
        <v>77.594912922642095</v>
      </c>
    </row>
    <row r="96" spans="2:18">
      <c r="B96" s="547">
        <v>2021</v>
      </c>
      <c r="D96" s="118">
        <f t="shared" ref="D96:R96" si="37">$K$67</f>
        <v>90.453045625643441</v>
      </c>
      <c r="E96" s="118">
        <f t="shared" si="37"/>
        <v>90.453045625643441</v>
      </c>
      <c r="F96" s="118">
        <f t="shared" si="37"/>
        <v>90.453045625643441</v>
      </c>
      <c r="G96" s="118">
        <f t="shared" si="37"/>
        <v>90.453045625643441</v>
      </c>
      <c r="H96" s="118">
        <f t="shared" si="37"/>
        <v>90.453045625643441</v>
      </c>
      <c r="I96" s="118">
        <f t="shared" si="37"/>
        <v>90.453045625643441</v>
      </c>
      <c r="J96" s="118">
        <f t="shared" si="37"/>
        <v>90.453045625643441</v>
      </c>
      <c r="K96" s="118">
        <f t="shared" si="37"/>
        <v>90.453045625643441</v>
      </c>
      <c r="L96" s="118">
        <f t="shared" si="37"/>
        <v>90.453045625643441</v>
      </c>
      <c r="M96" s="118">
        <f t="shared" si="37"/>
        <v>90.453045625643441</v>
      </c>
      <c r="N96" s="118">
        <f t="shared" si="37"/>
        <v>90.453045625643441</v>
      </c>
      <c r="O96" s="118">
        <f t="shared" si="37"/>
        <v>90.453045625643441</v>
      </c>
      <c r="P96" s="118">
        <f t="shared" si="37"/>
        <v>90.453045625643441</v>
      </c>
      <c r="Q96" s="118">
        <f t="shared" si="37"/>
        <v>90.453045625643441</v>
      </c>
      <c r="R96" s="118">
        <f t="shared" si="37"/>
        <v>90.453045625643441</v>
      </c>
    </row>
    <row r="97" spans="2:18">
      <c r="B97" s="547">
        <v>2022</v>
      </c>
      <c r="D97" s="118">
        <f t="shared" ref="D97:R97" si="38">$L$67</f>
        <v>99.902455142925149</v>
      </c>
      <c r="E97" s="118">
        <f t="shared" si="38"/>
        <v>99.902455142925149</v>
      </c>
      <c r="F97" s="118">
        <f t="shared" si="38"/>
        <v>99.902455142925149</v>
      </c>
      <c r="G97" s="118">
        <f t="shared" si="38"/>
        <v>99.902455142925149</v>
      </c>
      <c r="H97" s="118">
        <f t="shared" si="38"/>
        <v>99.902455142925149</v>
      </c>
      <c r="I97" s="118">
        <f t="shared" si="38"/>
        <v>99.902455142925149</v>
      </c>
      <c r="J97" s="118">
        <f t="shared" si="38"/>
        <v>99.902455142925149</v>
      </c>
      <c r="K97" s="118">
        <f t="shared" si="38"/>
        <v>99.902455142925149</v>
      </c>
      <c r="L97" s="118">
        <f t="shared" si="38"/>
        <v>99.902455142925149</v>
      </c>
      <c r="M97" s="118">
        <f t="shared" si="38"/>
        <v>99.902455142925149</v>
      </c>
      <c r="N97" s="118">
        <f t="shared" si="38"/>
        <v>99.902455142925149</v>
      </c>
      <c r="O97" s="118">
        <f t="shared" si="38"/>
        <v>99.902455142925149</v>
      </c>
      <c r="P97" s="118">
        <f t="shared" si="38"/>
        <v>99.902455142925149</v>
      </c>
      <c r="Q97" s="118">
        <f t="shared" si="38"/>
        <v>99.902455142925149</v>
      </c>
      <c r="R97" s="118">
        <f t="shared" si="38"/>
        <v>99.902455142925149</v>
      </c>
    </row>
    <row r="98" spans="2:18">
      <c r="B98" s="547">
        <v>2023</v>
      </c>
      <c r="D98" s="118" t="e">
        <f t="shared" ref="D98:R98" si="39">$M$67</f>
        <v>#DIV/0!</v>
      </c>
      <c r="E98" s="118" t="e">
        <f t="shared" si="39"/>
        <v>#DIV/0!</v>
      </c>
      <c r="F98" s="118" t="e">
        <f t="shared" si="39"/>
        <v>#DIV/0!</v>
      </c>
      <c r="G98" s="118" t="e">
        <f t="shared" si="39"/>
        <v>#DIV/0!</v>
      </c>
      <c r="H98" s="118" t="e">
        <f t="shared" si="39"/>
        <v>#DIV/0!</v>
      </c>
      <c r="I98" s="118" t="e">
        <f t="shared" si="39"/>
        <v>#DIV/0!</v>
      </c>
      <c r="J98" s="118" t="e">
        <f t="shared" si="39"/>
        <v>#DIV/0!</v>
      </c>
      <c r="K98" s="118" t="e">
        <f t="shared" si="39"/>
        <v>#DIV/0!</v>
      </c>
      <c r="L98" s="118" t="e">
        <f t="shared" si="39"/>
        <v>#DIV/0!</v>
      </c>
      <c r="M98" s="118" t="e">
        <f t="shared" si="39"/>
        <v>#DIV/0!</v>
      </c>
      <c r="N98" s="118" t="e">
        <f t="shared" si="39"/>
        <v>#DIV/0!</v>
      </c>
      <c r="O98" s="118" t="e">
        <f t="shared" si="39"/>
        <v>#DIV/0!</v>
      </c>
      <c r="P98" s="118" t="e">
        <f t="shared" si="39"/>
        <v>#DIV/0!</v>
      </c>
      <c r="Q98" s="118" t="e">
        <f t="shared" si="39"/>
        <v>#DIV/0!</v>
      </c>
      <c r="R98" s="118" t="e">
        <f t="shared" si="39"/>
        <v>#DIV/0!</v>
      </c>
    </row>
    <row r="99" spans="2:18">
      <c r="B99" s="547">
        <v>2024</v>
      </c>
      <c r="D99" s="118" t="e">
        <f>$N$67</f>
        <v>#DIV/0!</v>
      </c>
      <c r="E99" s="118" t="e">
        <f t="shared" ref="E99:R99" si="40">$N$67</f>
        <v>#DIV/0!</v>
      </c>
      <c r="F99" s="118" t="e">
        <f t="shared" si="40"/>
        <v>#DIV/0!</v>
      </c>
      <c r="G99" s="118" t="e">
        <f t="shared" si="40"/>
        <v>#DIV/0!</v>
      </c>
      <c r="H99" s="118" t="e">
        <f t="shared" si="40"/>
        <v>#DIV/0!</v>
      </c>
      <c r="I99" s="118" t="e">
        <f t="shared" si="40"/>
        <v>#DIV/0!</v>
      </c>
      <c r="J99" s="118" t="e">
        <f t="shared" si="40"/>
        <v>#DIV/0!</v>
      </c>
      <c r="K99" s="118" t="e">
        <f t="shared" si="40"/>
        <v>#DIV/0!</v>
      </c>
      <c r="L99" s="118" t="e">
        <f t="shared" si="40"/>
        <v>#DIV/0!</v>
      </c>
      <c r="M99" s="118" t="e">
        <f t="shared" si="40"/>
        <v>#DIV/0!</v>
      </c>
      <c r="N99" s="118" t="e">
        <f t="shared" si="40"/>
        <v>#DIV/0!</v>
      </c>
      <c r="O99" s="118" t="e">
        <f t="shared" si="40"/>
        <v>#DIV/0!</v>
      </c>
      <c r="P99" s="118" t="e">
        <f t="shared" si="40"/>
        <v>#DIV/0!</v>
      </c>
      <c r="Q99" s="118" t="e">
        <f t="shared" si="40"/>
        <v>#DIV/0!</v>
      </c>
      <c r="R99" s="118" t="e">
        <f t="shared" si="40"/>
        <v>#DIV/0!</v>
      </c>
    </row>
    <row r="100" spans="2:18">
      <c r="B100" s="547">
        <v>2025</v>
      </c>
      <c r="D100" s="118" t="e">
        <f>$O$67</f>
        <v>#DIV/0!</v>
      </c>
      <c r="E100" s="118" t="e">
        <f t="shared" ref="E100:R100" si="41">$O$67</f>
        <v>#DIV/0!</v>
      </c>
      <c r="F100" s="118" t="e">
        <f t="shared" si="41"/>
        <v>#DIV/0!</v>
      </c>
      <c r="G100" s="118" t="e">
        <f t="shared" si="41"/>
        <v>#DIV/0!</v>
      </c>
      <c r="H100" s="118" t="e">
        <f t="shared" si="41"/>
        <v>#DIV/0!</v>
      </c>
      <c r="I100" s="118" t="e">
        <f t="shared" si="41"/>
        <v>#DIV/0!</v>
      </c>
      <c r="J100" s="118" t="e">
        <f t="shared" si="41"/>
        <v>#DIV/0!</v>
      </c>
      <c r="K100" s="118" t="e">
        <f t="shared" si="41"/>
        <v>#DIV/0!</v>
      </c>
      <c r="L100" s="118" t="e">
        <f t="shared" si="41"/>
        <v>#DIV/0!</v>
      </c>
      <c r="M100" s="118" t="e">
        <f t="shared" si="41"/>
        <v>#DIV/0!</v>
      </c>
      <c r="N100" s="118" t="e">
        <f t="shared" si="41"/>
        <v>#DIV/0!</v>
      </c>
      <c r="O100" s="118" t="e">
        <f t="shared" si="41"/>
        <v>#DIV/0!</v>
      </c>
      <c r="P100" s="118" t="e">
        <f t="shared" si="41"/>
        <v>#DIV/0!</v>
      </c>
      <c r="Q100" s="118" t="e">
        <f t="shared" si="41"/>
        <v>#DIV/0!</v>
      </c>
      <c r="R100" s="118" t="e">
        <f t="shared" si="41"/>
        <v>#DIV/0!</v>
      </c>
    </row>
    <row r="101" spans="2:18">
      <c r="B101" s="547">
        <v>2026</v>
      </c>
      <c r="D101" s="118" t="e">
        <f>$P$67</f>
        <v>#DIV/0!</v>
      </c>
      <c r="E101" s="118" t="e">
        <f t="shared" ref="E101:R101" si="42">$P$67</f>
        <v>#DIV/0!</v>
      </c>
      <c r="F101" s="118" t="e">
        <f t="shared" si="42"/>
        <v>#DIV/0!</v>
      </c>
      <c r="G101" s="118" t="e">
        <f t="shared" si="42"/>
        <v>#DIV/0!</v>
      </c>
      <c r="H101" s="118" t="e">
        <f t="shared" si="42"/>
        <v>#DIV/0!</v>
      </c>
      <c r="I101" s="118" t="e">
        <f t="shared" si="42"/>
        <v>#DIV/0!</v>
      </c>
      <c r="J101" s="118" t="e">
        <f t="shared" si="42"/>
        <v>#DIV/0!</v>
      </c>
      <c r="K101" s="118" t="e">
        <f t="shared" si="42"/>
        <v>#DIV/0!</v>
      </c>
      <c r="L101" s="118" t="e">
        <f t="shared" si="42"/>
        <v>#DIV/0!</v>
      </c>
      <c r="M101" s="118" t="e">
        <f t="shared" si="42"/>
        <v>#DIV/0!</v>
      </c>
      <c r="N101" s="118" t="e">
        <f t="shared" si="42"/>
        <v>#DIV/0!</v>
      </c>
      <c r="O101" s="118" t="e">
        <f t="shared" si="42"/>
        <v>#DIV/0!</v>
      </c>
      <c r="P101" s="118" t="e">
        <f t="shared" si="42"/>
        <v>#DIV/0!</v>
      </c>
      <c r="Q101" s="118" t="e">
        <f t="shared" si="42"/>
        <v>#DIV/0!</v>
      </c>
      <c r="R101" s="118" t="e">
        <f t="shared" si="42"/>
        <v>#DIV/0!</v>
      </c>
    </row>
    <row r="102" spans="2:18">
      <c r="B102" s="547">
        <v>2027</v>
      </c>
      <c r="D102" s="118" t="e">
        <f>$Q$67</f>
        <v>#DIV/0!</v>
      </c>
      <c r="E102" s="118" t="e">
        <f t="shared" ref="E102:R102" si="43">$Q$67</f>
        <v>#DIV/0!</v>
      </c>
      <c r="F102" s="118" t="e">
        <f t="shared" si="43"/>
        <v>#DIV/0!</v>
      </c>
      <c r="G102" s="118" t="e">
        <f t="shared" si="43"/>
        <v>#DIV/0!</v>
      </c>
      <c r="H102" s="118" t="e">
        <f t="shared" si="43"/>
        <v>#DIV/0!</v>
      </c>
      <c r="I102" s="118" t="e">
        <f t="shared" si="43"/>
        <v>#DIV/0!</v>
      </c>
      <c r="J102" s="118" t="e">
        <f t="shared" si="43"/>
        <v>#DIV/0!</v>
      </c>
      <c r="K102" s="118" t="e">
        <f t="shared" si="43"/>
        <v>#DIV/0!</v>
      </c>
      <c r="L102" s="118" t="e">
        <f t="shared" si="43"/>
        <v>#DIV/0!</v>
      </c>
      <c r="M102" s="118" t="e">
        <f t="shared" si="43"/>
        <v>#DIV/0!</v>
      </c>
      <c r="N102" s="118" t="e">
        <f t="shared" si="43"/>
        <v>#DIV/0!</v>
      </c>
      <c r="O102" s="118" t="e">
        <f t="shared" si="43"/>
        <v>#DIV/0!</v>
      </c>
      <c r="P102" s="118" t="e">
        <f t="shared" si="43"/>
        <v>#DIV/0!</v>
      </c>
      <c r="Q102" s="118" t="e">
        <f t="shared" si="43"/>
        <v>#DIV/0!</v>
      </c>
      <c r="R102" s="118" t="e">
        <f t="shared" si="43"/>
        <v>#DIV/0!</v>
      </c>
    </row>
    <row r="103" spans="2:18">
      <c r="B103" s="547">
        <v>2028</v>
      </c>
      <c r="D103" s="118" t="e">
        <f>$R$67</f>
        <v>#DIV/0!</v>
      </c>
      <c r="E103" s="118" t="e">
        <f t="shared" ref="E103:R103" si="44">$R$67</f>
        <v>#DIV/0!</v>
      </c>
      <c r="F103" s="118" t="e">
        <f t="shared" si="44"/>
        <v>#DIV/0!</v>
      </c>
      <c r="G103" s="118" t="e">
        <f t="shared" si="44"/>
        <v>#DIV/0!</v>
      </c>
      <c r="H103" s="118" t="e">
        <f t="shared" si="44"/>
        <v>#DIV/0!</v>
      </c>
      <c r="I103" s="118" t="e">
        <f t="shared" si="44"/>
        <v>#DIV/0!</v>
      </c>
      <c r="J103" s="118" t="e">
        <f t="shared" si="44"/>
        <v>#DIV/0!</v>
      </c>
      <c r="K103" s="118" t="e">
        <f t="shared" si="44"/>
        <v>#DIV/0!</v>
      </c>
      <c r="L103" s="118" t="e">
        <f t="shared" si="44"/>
        <v>#DIV/0!</v>
      </c>
      <c r="M103" s="118" t="e">
        <f t="shared" si="44"/>
        <v>#DIV/0!</v>
      </c>
      <c r="N103" s="118" t="e">
        <f t="shared" si="44"/>
        <v>#DIV/0!</v>
      </c>
      <c r="O103" s="118" t="e">
        <f t="shared" si="44"/>
        <v>#DIV/0!</v>
      </c>
      <c r="P103" s="118" t="e">
        <f t="shared" si="44"/>
        <v>#DIV/0!</v>
      </c>
      <c r="Q103" s="118" t="e">
        <f t="shared" si="44"/>
        <v>#DIV/0!</v>
      </c>
      <c r="R103" s="118" t="e">
        <f t="shared" si="44"/>
        <v>#DIV/0!</v>
      </c>
    </row>
    <row r="104" spans="2:18">
      <c r="B104" s="547">
        <v>2029</v>
      </c>
      <c r="D104" s="118"/>
      <c r="E104" s="118"/>
      <c r="F104" s="118"/>
      <c r="G104" s="118"/>
      <c r="H104" s="118"/>
      <c r="I104" s="118"/>
      <c r="J104" s="118"/>
      <c r="K104" s="118"/>
      <c r="L104" s="118"/>
      <c r="M104" s="118"/>
      <c r="N104" s="118"/>
      <c r="O104" s="118"/>
      <c r="P104" s="118"/>
      <c r="Q104" s="118"/>
      <c r="R104" s="118"/>
    </row>
    <row r="105" spans="2:18">
      <c r="B105" s="62"/>
      <c r="D105" s="118"/>
      <c r="E105" s="118"/>
      <c r="F105" s="118"/>
      <c r="G105" s="118"/>
      <c r="H105" s="118"/>
      <c r="I105" s="118"/>
      <c r="J105" s="118"/>
      <c r="K105" s="118"/>
      <c r="L105" s="118"/>
      <c r="M105" s="118"/>
      <c r="N105" s="118"/>
      <c r="O105" s="118"/>
      <c r="P105" s="118"/>
      <c r="Q105" s="118"/>
      <c r="R105" s="118"/>
    </row>
    <row r="106" spans="2:18">
      <c r="B106" s="62"/>
      <c r="D106" s="69"/>
      <c r="E106" s="69"/>
      <c r="F106" s="69"/>
      <c r="G106" s="69"/>
      <c r="H106" s="69"/>
      <c r="I106" s="69"/>
      <c r="J106" s="69"/>
      <c r="K106" s="69"/>
      <c r="L106" s="69"/>
      <c r="M106" s="69"/>
      <c r="N106" s="69"/>
      <c r="O106" s="69"/>
      <c r="P106" s="69"/>
      <c r="Q106" s="69"/>
      <c r="R106" s="69"/>
    </row>
    <row r="107" spans="2:18">
      <c r="B107" s="46" t="s">
        <v>93</v>
      </c>
      <c r="D107" s="69"/>
      <c r="E107" s="69"/>
      <c r="F107" s="69"/>
      <c r="G107" s="69"/>
      <c r="H107" s="69"/>
      <c r="I107" s="69"/>
      <c r="J107" s="69"/>
      <c r="K107" s="69"/>
      <c r="L107" s="69"/>
      <c r="M107" s="69"/>
      <c r="N107" s="69"/>
      <c r="O107" s="69"/>
      <c r="P107" s="69"/>
      <c r="Q107" s="69"/>
      <c r="R107" s="69"/>
    </row>
    <row r="108" spans="2:18">
      <c r="B108" s="62" t="s">
        <v>5</v>
      </c>
      <c r="D108" s="69"/>
      <c r="E108" s="69"/>
      <c r="F108" s="69"/>
      <c r="G108" s="69"/>
      <c r="H108" s="69"/>
      <c r="I108" s="69"/>
      <c r="J108" s="69"/>
      <c r="K108" s="69"/>
      <c r="L108" s="69"/>
      <c r="M108" s="69"/>
      <c r="N108" s="69"/>
      <c r="O108" s="69"/>
      <c r="P108" s="69"/>
      <c r="Q108" s="69"/>
      <c r="R108" s="69"/>
    </row>
    <row r="109" spans="2:18">
      <c r="B109" s="547">
        <v>2014</v>
      </c>
      <c r="D109" s="118">
        <f t="shared" ref="D109:R109" si="45">$D$66</f>
        <v>8.3733579556583031</v>
      </c>
      <c r="E109" s="118">
        <f t="shared" si="45"/>
        <v>8.3733579556583031</v>
      </c>
      <c r="F109" s="118">
        <f t="shared" si="45"/>
        <v>8.3733579556583031</v>
      </c>
      <c r="G109" s="118">
        <f t="shared" si="45"/>
        <v>8.3733579556583031</v>
      </c>
      <c r="H109" s="118">
        <f t="shared" si="45"/>
        <v>8.3733579556583031</v>
      </c>
      <c r="I109" s="118">
        <f t="shared" si="45"/>
        <v>8.3733579556583031</v>
      </c>
      <c r="J109" s="118">
        <f t="shared" si="45"/>
        <v>8.3733579556583031</v>
      </c>
      <c r="K109" s="118">
        <f t="shared" si="45"/>
        <v>8.3733579556583031</v>
      </c>
      <c r="L109" s="118">
        <f t="shared" si="45"/>
        <v>8.3733579556583031</v>
      </c>
      <c r="M109" s="118">
        <f t="shared" si="45"/>
        <v>8.3733579556583031</v>
      </c>
      <c r="N109" s="118">
        <f t="shared" si="45"/>
        <v>8.3733579556583031</v>
      </c>
      <c r="O109" s="118">
        <f t="shared" si="45"/>
        <v>8.3733579556583031</v>
      </c>
      <c r="P109" s="118">
        <f t="shared" si="45"/>
        <v>8.3733579556583031</v>
      </c>
      <c r="Q109" s="118">
        <f t="shared" si="45"/>
        <v>8.3733579556583031</v>
      </c>
      <c r="R109" s="118">
        <f t="shared" si="45"/>
        <v>8.3733579556583031</v>
      </c>
    </row>
    <row r="110" spans="2:18">
      <c r="B110" s="547">
        <v>2015</v>
      </c>
      <c r="D110" s="118">
        <f t="shared" ref="D110:R110" si="46">$E$66</f>
        <v>19.346920809520512</v>
      </c>
      <c r="E110" s="118">
        <f t="shared" si="46"/>
        <v>19.346920809520512</v>
      </c>
      <c r="F110" s="118">
        <f t="shared" si="46"/>
        <v>19.346920809520512</v>
      </c>
      <c r="G110" s="118">
        <f t="shared" si="46"/>
        <v>19.346920809520512</v>
      </c>
      <c r="H110" s="118">
        <f t="shared" si="46"/>
        <v>19.346920809520512</v>
      </c>
      <c r="I110" s="118">
        <f t="shared" si="46"/>
        <v>19.346920809520512</v>
      </c>
      <c r="J110" s="118">
        <f t="shared" si="46"/>
        <v>19.346920809520512</v>
      </c>
      <c r="K110" s="118">
        <f t="shared" si="46"/>
        <v>19.346920809520512</v>
      </c>
      <c r="L110" s="118">
        <f t="shared" si="46"/>
        <v>19.346920809520512</v>
      </c>
      <c r="M110" s="118">
        <f t="shared" si="46"/>
        <v>19.346920809520512</v>
      </c>
      <c r="N110" s="118">
        <f t="shared" si="46"/>
        <v>19.346920809520512</v>
      </c>
      <c r="O110" s="118">
        <f t="shared" si="46"/>
        <v>19.346920809520512</v>
      </c>
      <c r="P110" s="118">
        <f t="shared" si="46"/>
        <v>19.346920809520512</v>
      </c>
      <c r="Q110" s="118">
        <f t="shared" si="46"/>
        <v>19.346920809520512</v>
      </c>
      <c r="R110" s="118">
        <f t="shared" si="46"/>
        <v>19.346920809520512</v>
      </c>
    </row>
    <row r="111" spans="2:18">
      <c r="B111" s="547">
        <v>2016</v>
      </c>
      <c r="D111" s="118">
        <f t="shared" ref="D111:R111" si="47">$F$66</f>
        <v>17.270360728895501</v>
      </c>
      <c r="E111" s="118">
        <f t="shared" si="47"/>
        <v>17.270360728895501</v>
      </c>
      <c r="F111" s="118">
        <f t="shared" si="47"/>
        <v>17.270360728895501</v>
      </c>
      <c r="G111" s="118">
        <f t="shared" si="47"/>
        <v>17.270360728895501</v>
      </c>
      <c r="H111" s="118">
        <f t="shared" si="47"/>
        <v>17.270360728895501</v>
      </c>
      <c r="I111" s="118">
        <f t="shared" si="47"/>
        <v>17.270360728895501</v>
      </c>
      <c r="J111" s="118">
        <f t="shared" si="47"/>
        <v>17.270360728895501</v>
      </c>
      <c r="K111" s="118">
        <f t="shared" si="47"/>
        <v>17.270360728895501</v>
      </c>
      <c r="L111" s="118">
        <f t="shared" si="47"/>
        <v>17.270360728895501</v>
      </c>
      <c r="M111" s="118">
        <f t="shared" si="47"/>
        <v>17.270360728895501</v>
      </c>
      <c r="N111" s="118">
        <f t="shared" si="47"/>
        <v>17.270360728895501</v>
      </c>
      <c r="O111" s="118">
        <f t="shared" si="47"/>
        <v>17.270360728895501</v>
      </c>
      <c r="P111" s="118">
        <f t="shared" si="47"/>
        <v>17.270360728895501</v>
      </c>
      <c r="Q111" s="118">
        <f t="shared" si="47"/>
        <v>17.270360728895501</v>
      </c>
      <c r="R111" s="118">
        <f t="shared" si="47"/>
        <v>17.270360728895501</v>
      </c>
    </row>
    <row r="112" spans="2:18">
      <c r="B112" s="547">
        <v>2017</v>
      </c>
      <c r="D112" s="118">
        <f t="shared" ref="D112:R112" si="48">$G$66</f>
        <v>15.853293413173652</v>
      </c>
      <c r="E112" s="118">
        <f t="shared" si="48"/>
        <v>15.853293413173652</v>
      </c>
      <c r="F112" s="118">
        <f t="shared" si="48"/>
        <v>15.853293413173652</v>
      </c>
      <c r="G112" s="118">
        <f t="shared" si="48"/>
        <v>15.853293413173652</v>
      </c>
      <c r="H112" s="118">
        <f t="shared" si="48"/>
        <v>15.853293413173652</v>
      </c>
      <c r="I112" s="118">
        <f t="shared" si="48"/>
        <v>15.853293413173652</v>
      </c>
      <c r="J112" s="118">
        <f t="shared" si="48"/>
        <v>15.853293413173652</v>
      </c>
      <c r="K112" s="118">
        <f t="shared" si="48"/>
        <v>15.853293413173652</v>
      </c>
      <c r="L112" s="118">
        <f t="shared" si="48"/>
        <v>15.853293413173652</v>
      </c>
      <c r="M112" s="118">
        <f t="shared" si="48"/>
        <v>15.853293413173652</v>
      </c>
      <c r="N112" s="118">
        <f t="shared" si="48"/>
        <v>15.853293413173652</v>
      </c>
      <c r="O112" s="118">
        <f t="shared" si="48"/>
        <v>15.853293413173652</v>
      </c>
      <c r="P112" s="118">
        <f t="shared" si="48"/>
        <v>15.853293413173652</v>
      </c>
      <c r="Q112" s="118">
        <f t="shared" si="48"/>
        <v>15.853293413173652</v>
      </c>
      <c r="R112" s="118">
        <f t="shared" si="48"/>
        <v>15.853293413173652</v>
      </c>
    </row>
    <row r="113" spans="2:18">
      <c r="B113" s="547">
        <v>2018</v>
      </c>
      <c r="D113" s="118">
        <f t="shared" ref="D113:R113" si="49">$H$66</f>
        <v>17.701980325459317</v>
      </c>
      <c r="E113" s="118">
        <f t="shared" si="49"/>
        <v>17.701980325459317</v>
      </c>
      <c r="F113" s="118">
        <f t="shared" si="49"/>
        <v>17.701980325459317</v>
      </c>
      <c r="G113" s="118">
        <f t="shared" si="49"/>
        <v>17.701980325459317</v>
      </c>
      <c r="H113" s="118">
        <f t="shared" si="49"/>
        <v>17.701980325459317</v>
      </c>
      <c r="I113" s="118">
        <f t="shared" si="49"/>
        <v>17.701980325459317</v>
      </c>
      <c r="J113" s="118">
        <f t="shared" si="49"/>
        <v>17.701980325459317</v>
      </c>
      <c r="K113" s="118">
        <f t="shared" si="49"/>
        <v>17.701980325459317</v>
      </c>
      <c r="L113" s="118">
        <f t="shared" si="49"/>
        <v>17.701980325459317</v>
      </c>
      <c r="M113" s="118">
        <f t="shared" si="49"/>
        <v>17.701980325459317</v>
      </c>
      <c r="N113" s="118">
        <f t="shared" si="49"/>
        <v>17.701980325459317</v>
      </c>
      <c r="O113" s="118">
        <f t="shared" si="49"/>
        <v>17.701980325459317</v>
      </c>
      <c r="P113" s="118">
        <f t="shared" si="49"/>
        <v>17.701980325459317</v>
      </c>
      <c r="Q113" s="118">
        <f t="shared" si="49"/>
        <v>17.701980325459317</v>
      </c>
      <c r="R113" s="118">
        <f t="shared" si="49"/>
        <v>17.701980325459317</v>
      </c>
    </row>
    <row r="114" spans="2:18">
      <c r="B114" s="547">
        <v>2019</v>
      </c>
      <c r="D114" s="118">
        <f>$I$66</f>
        <v>17.270015895196508</v>
      </c>
      <c r="E114" s="118">
        <f t="shared" ref="E114:R114" si="50">$I$66</f>
        <v>17.270015895196508</v>
      </c>
      <c r="F114" s="118">
        <f t="shared" si="50"/>
        <v>17.270015895196508</v>
      </c>
      <c r="G114" s="118">
        <f t="shared" si="50"/>
        <v>17.270015895196508</v>
      </c>
      <c r="H114" s="118">
        <f t="shared" si="50"/>
        <v>17.270015895196508</v>
      </c>
      <c r="I114" s="118">
        <f t="shared" si="50"/>
        <v>17.270015895196508</v>
      </c>
      <c r="J114" s="118">
        <f t="shared" si="50"/>
        <v>17.270015895196508</v>
      </c>
      <c r="K114" s="118">
        <f t="shared" si="50"/>
        <v>17.270015895196508</v>
      </c>
      <c r="L114" s="118">
        <f t="shared" si="50"/>
        <v>17.270015895196508</v>
      </c>
      <c r="M114" s="118">
        <f t="shared" si="50"/>
        <v>17.270015895196508</v>
      </c>
      <c r="N114" s="118">
        <f t="shared" si="50"/>
        <v>17.270015895196508</v>
      </c>
      <c r="O114" s="118">
        <f t="shared" si="50"/>
        <v>17.270015895196508</v>
      </c>
      <c r="P114" s="118">
        <f t="shared" si="50"/>
        <v>17.270015895196508</v>
      </c>
      <c r="Q114" s="118">
        <f t="shared" si="50"/>
        <v>17.270015895196508</v>
      </c>
      <c r="R114" s="118">
        <f t="shared" si="50"/>
        <v>17.270015895196508</v>
      </c>
    </row>
    <row r="115" spans="2:18">
      <c r="B115" s="547">
        <v>2020</v>
      </c>
      <c r="D115" s="118">
        <f t="shared" ref="D115:R115" si="51">$J$66</f>
        <v>21.31467468246575</v>
      </c>
      <c r="E115" s="118">
        <f t="shared" si="51"/>
        <v>21.31467468246575</v>
      </c>
      <c r="F115" s="118">
        <f t="shared" si="51"/>
        <v>21.31467468246575</v>
      </c>
      <c r="G115" s="118">
        <f t="shared" si="51"/>
        <v>21.31467468246575</v>
      </c>
      <c r="H115" s="118">
        <f t="shared" si="51"/>
        <v>21.31467468246575</v>
      </c>
      <c r="I115" s="118">
        <f t="shared" si="51"/>
        <v>21.31467468246575</v>
      </c>
      <c r="J115" s="118">
        <f t="shared" si="51"/>
        <v>21.31467468246575</v>
      </c>
      <c r="K115" s="118">
        <f t="shared" si="51"/>
        <v>21.31467468246575</v>
      </c>
      <c r="L115" s="118">
        <f t="shared" si="51"/>
        <v>21.31467468246575</v>
      </c>
      <c r="M115" s="118">
        <f t="shared" si="51"/>
        <v>21.31467468246575</v>
      </c>
      <c r="N115" s="118">
        <f t="shared" si="51"/>
        <v>21.31467468246575</v>
      </c>
      <c r="O115" s="118">
        <f t="shared" si="51"/>
        <v>21.31467468246575</v>
      </c>
      <c r="P115" s="118">
        <f t="shared" si="51"/>
        <v>21.31467468246575</v>
      </c>
      <c r="Q115" s="118">
        <f t="shared" si="51"/>
        <v>21.31467468246575</v>
      </c>
      <c r="R115" s="118">
        <f t="shared" si="51"/>
        <v>21.31467468246575</v>
      </c>
    </row>
    <row r="116" spans="2:18">
      <c r="B116" s="547">
        <v>2021</v>
      </c>
      <c r="D116" s="118">
        <f t="shared" ref="D116:R116" si="52">$K$66</f>
        <v>31.851646438061223</v>
      </c>
      <c r="E116" s="118">
        <f t="shared" si="52"/>
        <v>31.851646438061223</v>
      </c>
      <c r="F116" s="118">
        <f t="shared" si="52"/>
        <v>31.851646438061223</v>
      </c>
      <c r="G116" s="118">
        <f t="shared" si="52"/>
        <v>31.851646438061223</v>
      </c>
      <c r="H116" s="118">
        <f t="shared" si="52"/>
        <v>31.851646438061223</v>
      </c>
      <c r="I116" s="118">
        <f t="shared" si="52"/>
        <v>31.851646438061223</v>
      </c>
      <c r="J116" s="118">
        <f t="shared" si="52"/>
        <v>31.851646438061223</v>
      </c>
      <c r="K116" s="118">
        <f t="shared" si="52"/>
        <v>31.851646438061223</v>
      </c>
      <c r="L116" s="118">
        <f t="shared" si="52"/>
        <v>31.851646438061223</v>
      </c>
      <c r="M116" s="118">
        <f t="shared" si="52"/>
        <v>31.851646438061223</v>
      </c>
      <c r="N116" s="118">
        <f t="shared" si="52"/>
        <v>31.851646438061223</v>
      </c>
      <c r="O116" s="118">
        <f t="shared" si="52"/>
        <v>31.851646438061223</v>
      </c>
      <c r="P116" s="118">
        <f t="shared" si="52"/>
        <v>31.851646438061223</v>
      </c>
      <c r="Q116" s="118">
        <f t="shared" si="52"/>
        <v>31.851646438061223</v>
      </c>
      <c r="R116" s="118">
        <f t="shared" si="52"/>
        <v>31.851646438061223</v>
      </c>
    </row>
    <row r="117" spans="2:18">
      <c r="B117" s="547">
        <v>2022</v>
      </c>
      <c r="D117" s="118">
        <f t="shared" ref="D117:R117" si="53">$L$66</f>
        <v>32.177655084225798</v>
      </c>
      <c r="E117" s="118">
        <f t="shared" si="53"/>
        <v>32.177655084225798</v>
      </c>
      <c r="F117" s="118">
        <f t="shared" si="53"/>
        <v>32.177655084225798</v>
      </c>
      <c r="G117" s="118">
        <f t="shared" si="53"/>
        <v>32.177655084225798</v>
      </c>
      <c r="H117" s="118">
        <f t="shared" si="53"/>
        <v>32.177655084225798</v>
      </c>
      <c r="I117" s="118">
        <f t="shared" si="53"/>
        <v>32.177655084225798</v>
      </c>
      <c r="J117" s="118">
        <f t="shared" si="53"/>
        <v>32.177655084225798</v>
      </c>
      <c r="K117" s="118">
        <f t="shared" si="53"/>
        <v>32.177655084225798</v>
      </c>
      <c r="L117" s="118">
        <f t="shared" si="53"/>
        <v>32.177655084225798</v>
      </c>
      <c r="M117" s="118">
        <f t="shared" si="53"/>
        <v>32.177655084225798</v>
      </c>
      <c r="N117" s="118">
        <f t="shared" si="53"/>
        <v>32.177655084225798</v>
      </c>
      <c r="O117" s="118">
        <f t="shared" si="53"/>
        <v>32.177655084225798</v>
      </c>
      <c r="P117" s="118">
        <f t="shared" si="53"/>
        <v>32.177655084225798</v>
      </c>
      <c r="Q117" s="118">
        <f t="shared" si="53"/>
        <v>32.177655084225798</v>
      </c>
      <c r="R117" s="118">
        <f t="shared" si="53"/>
        <v>32.177655084225798</v>
      </c>
    </row>
    <row r="118" spans="2:18">
      <c r="B118" s="547">
        <v>2023</v>
      </c>
      <c r="D118" s="118" t="e">
        <f t="shared" ref="D118:R118" si="54">$M$66</f>
        <v>#DIV/0!</v>
      </c>
      <c r="E118" s="118" t="e">
        <f t="shared" si="54"/>
        <v>#DIV/0!</v>
      </c>
      <c r="F118" s="118" t="e">
        <f t="shared" si="54"/>
        <v>#DIV/0!</v>
      </c>
      <c r="G118" s="118" t="e">
        <f t="shared" si="54"/>
        <v>#DIV/0!</v>
      </c>
      <c r="H118" s="118" t="e">
        <f t="shared" si="54"/>
        <v>#DIV/0!</v>
      </c>
      <c r="I118" s="118" t="e">
        <f t="shared" si="54"/>
        <v>#DIV/0!</v>
      </c>
      <c r="J118" s="118" t="e">
        <f t="shared" si="54"/>
        <v>#DIV/0!</v>
      </c>
      <c r="K118" s="118" t="e">
        <f t="shared" si="54"/>
        <v>#DIV/0!</v>
      </c>
      <c r="L118" s="118" t="e">
        <f t="shared" si="54"/>
        <v>#DIV/0!</v>
      </c>
      <c r="M118" s="118" t="e">
        <f t="shared" si="54"/>
        <v>#DIV/0!</v>
      </c>
      <c r="N118" s="118" t="e">
        <f t="shared" si="54"/>
        <v>#DIV/0!</v>
      </c>
      <c r="O118" s="118" t="e">
        <f t="shared" si="54"/>
        <v>#DIV/0!</v>
      </c>
      <c r="P118" s="118" t="e">
        <f t="shared" si="54"/>
        <v>#DIV/0!</v>
      </c>
      <c r="Q118" s="118" t="e">
        <f t="shared" si="54"/>
        <v>#DIV/0!</v>
      </c>
      <c r="R118" s="118" t="e">
        <f t="shared" si="54"/>
        <v>#DIV/0!</v>
      </c>
    </row>
    <row r="119" spans="2:18">
      <c r="B119" s="547">
        <v>2024</v>
      </c>
      <c r="D119" s="118" t="e">
        <f>$N$66</f>
        <v>#DIV/0!</v>
      </c>
      <c r="E119" s="118" t="e">
        <f t="shared" ref="E119:R119" si="55">$N$66</f>
        <v>#DIV/0!</v>
      </c>
      <c r="F119" s="118" t="e">
        <f t="shared" si="55"/>
        <v>#DIV/0!</v>
      </c>
      <c r="G119" s="118" t="e">
        <f t="shared" si="55"/>
        <v>#DIV/0!</v>
      </c>
      <c r="H119" s="118" t="e">
        <f t="shared" si="55"/>
        <v>#DIV/0!</v>
      </c>
      <c r="I119" s="118" t="e">
        <f t="shared" si="55"/>
        <v>#DIV/0!</v>
      </c>
      <c r="J119" s="118" t="e">
        <f t="shared" si="55"/>
        <v>#DIV/0!</v>
      </c>
      <c r="K119" s="118" t="e">
        <f t="shared" si="55"/>
        <v>#DIV/0!</v>
      </c>
      <c r="L119" s="118" t="e">
        <f t="shared" si="55"/>
        <v>#DIV/0!</v>
      </c>
      <c r="M119" s="118" t="e">
        <f t="shared" si="55"/>
        <v>#DIV/0!</v>
      </c>
      <c r="N119" s="118" t="e">
        <f t="shared" si="55"/>
        <v>#DIV/0!</v>
      </c>
      <c r="O119" s="118" t="e">
        <f t="shared" si="55"/>
        <v>#DIV/0!</v>
      </c>
      <c r="P119" s="118" t="e">
        <f t="shared" si="55"/>
        <v>#DIV/0!</v>
      </c>
      <c r="Q119" s="118" t="e">
        <f t="shared" si="55"/>
        <v>#DIV/0!</v>
      </c>
      <c r="R119" s="118" t="e">
        <f t="shared" si="55"/>
        <v>#DIV/0!</v>
      </c>
    </row>
    <row r="120" spans="2:18">
      <c r="B120" s="547">
        <v>2025</v>
      </c>
      <c r="D120" s="118" t="e">
        <f>$O$66</f>
        <v>#DIV/0!</v>
      </c>
      <c r="E120" s="118" t="e">
        <f t="shared" ref="E120:R120" si="56">$O$66</f>
        <v>#DIV/0!</v>
      </c>
      <c r="F120" s="118" t="e">
        <f t="shared" si="56"/>
        <v>#DIV/0!</v>
      </c>
      <c r="G120" s="118" t="e">
        <f t="shared" si="56"/>
        <v>#DIV/0!</v>
      </c>
      <c r="H120" s="118" t="e">
        <f t="shared" si="56"/>
        <v>#DIV/0!</v>
      </c>
      <c r="I120" s="118" t="e">
        <f t="shared" si="56"/>
        <v>#DIV/0!</v>
      </c>
      <c r="J120" s="118" t="e">
        <f t="shared" si="56"/>
        <v>#DIV/0!</v>
      </c>
      <c r="K120" s="118" t="e">
        <f t="shared" si="56"/>
        <v>#DIV/0!</v>
      </c>
      <c r="L120" s="118" t="e">
        <f t="shared" si="56"/>
        <v>#DIV/0!</v>
      </c>
      <c r="M120" s="118" t="e">
        <f t="shared" si="56"/>
        <v>#DIV/0!</v>
      </c>
      <c r="N120" s="118" t="e">
        <f t="shared" si="56"/>
        <v>#DIV/0!</v>
      </c>
      <c r="O120" s="118" t="e">
        <f t="shared" si="56"/>
        <v>#DIV/0!</v>
      </c>
      <c r="P120" s="118" t="e">
        <f t="shared" si="56"/>
        <v>#DIV/0!</v>
      </c>
      <c r="Q120" s="118" t="e">
        <f t="shared" si="56"/>
        <v>#DIV/0!</v>
      </c>
      <c r="R120" s="118" t="e">
        <f t="shared" si="56"/>
        <v>#DIV/0!</v>
      </c>
    </row>
    <row r="121" spans="2:18">
      <c r="B121" s="547">
        <v>2026</v>
      </c>
      <c r="D121" s="118" t="e">
        <f>$P$66</f>
        <v>#DIV/0!</v>
      </c>
      <c r="E121" s="118" t="e">
        <f t="shared" ref="E121:R121" si="57">$P$66</f>
        <v>#DIV/0!</v>
      </c>
      <c r="F121" s="118" t="e">
        <f t="shared" si="57"/>
        <v>#DIV/0!</v>
      </c>
      <c r="G121" s="118" t="e">
        <f t="shared" si="57"/>
        <v>#DIV/0!</v>
      </c>
      <c r="H121" s="118" t="e">
        <f t="shared" si="57"/>
        <v>#DIV/0!</v>
      </c>
      <c r="I121" s="118" t="e">
        <f t="shared" si="57"/>
        <v>#DIV/0!</v>
      </c>
      <c r="J121" s="118" t="e">
        <f t="shared" si="57"/>
        <v>#DIV/0!</v>
      </c>
      <c r="K121" s="118" t="e">
        <f t="shared" si="57"/>
        <v>#DIV/0!</v>
      </c>
      <c r="L121" s="118" t="e">
        <f t="shared" si="57"/>
        <v>#DIV/0!</v>
      </c>
      <c r="M121" s="118" t="e">
        <f t="shared" si="57"/>
        <v>#DIV/0!</v>
      </c>
      <c r="N121" s="118" t="e">
        <f t="shared" si="57"/>
        <v>#DIV/0!</v>
      </c>
      <c r="O121" s="118" t="e">
        <f t="shared" si="57"/>
        <v>#DIV/0!</v>
      </c>
      <c r="P121" s="118" t="e">
        <f t="shared" si="57"/>
        <v>#DIV/0!</v>
      </c>
      <c r="Q121" s="118" t="e">
        <f t="shared" si="57"/>
        <v>#DIV/0!</v>
      </c>
      <c r="R121" s="118" t="e">
        <f t="shared" si="57"/>
        <v>#DIV/0!</v>
      </c>
    </row>
    <row r="122" spans="2:18">
      <c r="B122" s="547">
        <v>2027</v>
      </c>
      <c r="D122" s="118" t="e">
        <f>$Q$66</f>
        <v>#DIV/0!</v>
      </c>
      <c r="E122" s="118" t="e">
        <f t="shared" ref="E122:R122" si="58">$Q$66</f>
        <v>#DIV/0!</v>
      </c>
      <c r="F122" s="118" t="e">
        <f t="shared" si="58"/>
        <v>#DIV/0!</v>
      </c>
      <c r="G122" s="118" t="e">
        <f t="shared" si="58"/>
        <v>#DIV/0!</v>
      </c>
      <c r="H122" s="118" t="e">
        <f t="shared" si="58"/>
        <v>#DIV/0!</v>
      </c>
      <c r="I122" s="118" t="e">
        <f t="shared" si="58"/>
        <v>#DIV/0!</v>
      </c>
      <c r="J122" s="118" t="e">
        <f t="shared" si="58"/>
        <v>#DIV/0!</v>
      </c>
      <c r="K122" s="118" t="e">
        <f t="shared" si="58"/>
        <v>#DIV/0!</v>
      </c>
      <c r="L122" s="118" t="e">
        <f t="shared" si="58"/>
        <v>#DIV/0!</v>
      </c>
      <c r="M122" s="118" t="e">
        <f t="shared" si="58"/>
        <v>#DIV/0!</v>
      </c>
      <c r="N122" s="118" t="e">
        <f t="shared" si="58"/>
        <v>#DIV/0!</v>
      </c>
      <c r="O122" s="118" t="e">
        <f t="shared" si="58"/>
        <v>#DIV/0!</v>
      </c>
      <c r="P122" s="118" t="e">
        <f t="shared" si="58"/>
        <v>#DIV/0!</v>
      </c>
      <c r="Q122" s="118" t="e">
        <f t="shared" si="58"/>
        <v>#DIV/0!</v>
      </c>
      <c r="R122" s="118" t="e">
        <f t="shared" si="58"/>
        <v>#DIV/0!</v>
      </c>
    </row>
    <row r="123" spans="2:18">
      <c r="B123" s="547">
        <v>2028</v>
      </c>
      <c r="D123" s="118" t="e">
        <f>$R$66</f>
        <v>#DIV/0!</v>
      </c>
      <c r="E123" s="118" t="e">
        <f t="shared" ref="E123:R123" si="59">$R$66</f>
        <v>#DIV/0!</v>
      </c>
      <c r="F123" s="118" t="e">
        <f t="shared" si="59"/>
        <v>#DIV/0!</v>
      </c>
      <c r="G123" s="118" t="e">
        <f t="shared" si="59"/>
        <v>#DIV/0!</v>
      </c>
      <c r="H123" s="118" t="e">
        <f t="shared" si="59"/>
        <v>#DIV/0!</v>
      </c>
      <c r="I123" s="118" t="e">
        <f t="shared" si="59"/>
        <v>#DIV/0!</v>
      </c>
      <c r="J123" s="118" t="e">
        <f t="shared" si="59"/>
        <v>#DIV/0!</v>
      </c>
      <c r="K123" s="118" t="e">
        <f t="shared" si="59"/>
        <v>#DIV/0!</v>
      </c>
      <c r="L123" s="118" t="e">
        <f t="shared" si="59"/>
        <v>#DIV/0!</v>
      </c>
      <c r="M123" s="118" t="e">
        <f t="shared" si="59"/>
        <v>#DIV/0!</v>
      </c>
      <c r="N123" s="118" t="e">
        <f t="shared" si="59"/>
        <v>#DIV/0!</v>
      </c>
      <c r="O123" s="118" t="e">
        <f t="shared" si="59"/>
        <v>#DIV/0!</v>
      </c>
      <c r="P123" s="118" t="e">
        <f t="shared" si="59"/>
        <v>#DIV/0!</v>
      </c>
      <c r="Q123" s="118" t="e">
        <f t="shared" si="59"/>
        <v>#DIV/0!</v>
      </c>
      <c r="R123" s="118" t="e">
        <f t="shared" si="59"/>
        <v>#DIV/0!</v>
      </c>
    </row>
    <row r="124" spans="2:18">
      <c r="B124" s="547">
        <v>2029</v>
      </c>
      <c r="D124" s="118"/>
      <c r="E124" s="118"/>
      <c r="F124" s="118"/>
      <c r="G124" s="118"/>
      <c r="H124" s="118"/>
      <c r="I124" s="118"/>
      <c r="J124" s="118"/>
      <c r="K124" s="118"/>
      <c r="L124" s="118"/>
      <c r="M124" s="118"/>
      <c r="N124" s="118"/>
      <c r="O124" s="118"/>
      <c r="P124" s="118"/>
      <c r="Q124" s="118"/>
      <c r="R124" s="118"/>
    </row>
    <row r="125" spans="2:18">
      <c r="B125" s="62"/>
      <c r="D125" s="69"/>
      <c r="E125" s="69"/>
      <c r="F125" s="69"/>
      <c r="G125" s="69"/>
      <c r="H125" s="69"/>
      <c r="I125" s="69"/>
      <c r="J125" s="69"/>
      <c r="K125" s="69"/>
      <c r="L125" s="69"/>
      <c r="M125" s="69"/>
      <c r="N125" s="69"/>
      <c r="O125" s="69"/>
      <c r="P125" s="69"/>
      <c r="Q125" s="69"/>
      <c r="R125" s="69"/>
    </row>
    <row r="126" spans="2:18">
      <c r="B126" s="119"/>
      <c r="C126" s="120"/>
      <c r="D126" s="121"/>
      <c r="E126" s="121"/>
      <c r="F126" s="121"/>
      <c r="G126" s="121"/>
      <c r="H126" s="121"/>
      <c r="I126" s="121"/>
      <c r="J126" s="119"/>
      <c r="K126" s="119"/>
      <c r="L126" s="119"/>
      <c r="M126" s="119"/>
      <c r="N126" s="119"/>
      <c r="O126" s="119"/>
      <c r="P126" s="119"/>
      <c r="Q126" s="119"/>
      <c r="R126" s="119"/>
    </row>
    <row r="127" spans="2:18">
      <c r="B127" s="5" t="s">
        <v>224</v>
      </c>
      <c r="D127" s="118"/>
      <c r="E127" s="118"/>
      <c r="F127" s="118"/>
      <c r="G127" s="118"/>
      <c r="H127" s="118"/>
      <c r="I127" s="118"/>
    </row>
    <row r="128" spans="2:18">
      <c r="B128" s="5" t="s">
        <v>89</v>
      </c>
      <c r="D128" s="118"/>
      <c r="E128" s="118"/>
      <c r="F128" s="118"/>
      <c r="G128" s="118"/>
      <c r="H128" s="118"/>
      <c r="I128" s="118"/>
    </row>
    <row r="129" spans="2:18">
      <c r="B129" s="62" t="s">
        <v>5</v>
      </c>
      <c r="D129" s="118"/>
      <c r="E129" s="118"/>
      <c r="F129" s="118"/>
      <c r="G129" s="118"/>
      <c r="H129" s="118"/>
      <c r="I129" s="118"/>
    </row>
    <row r="130" spans="2:18">
      <c r="B130" s="547">
        <v>2014</v>
      </c>
      <c r="D130" s="69"/>
      <c r="E130" s="69"/>
      <c r="F130" s="69"/>
      <c r="G130" s="69"/>
      <c r="H130" s="69"/>
      <c r="I130" s="69"/>
      <c r="J130" s="69"/>
      <c r="K130" s="69"/>
      <c r="L130" s="69"/>
      <c r="M130" s="69"/>
      <c r="N130" s="69"/>
      <c r="O130" s="69"/>
      <c r="P130" s="69"/>
      <c r="Q130" s="69"/>
      <c r="R130" s="69"/>
    </row>
    <row r="131" spans="2:18">
      <c r="B131" s="547">
        <v>2015</v>
      </c>
      <c r="D131" s="69"/>
      <c r="E131" s="69"/>
      <c r="F131" s="69"/>
      <c r="G131" s="69"/>
      <c r="H131" s="69"/>
      <c r="I131" s="69"/>
      <c r="J131" s="69"/>
      <c r="K131" s="69"/>
      <c r="L131" s="69"/>
      <c r="M131" s="69"/>
      <c r="N131" s="69"/>
      <c r="O131" s="69"/>
      <c r="P131" s="69"/>
      <c r="Q131" s="69"/>
      <c r="R131" s="69"/>
    </row>
    <row r="132" spans="2:18">
      <c r="B132" s="547">
        <v>2016</v>
      </c>
      <c r="D132" s="69"/>
      <c r="E132" s="69"/>
      <c r="F132" s="69"/>
      <c r="G132" s="69"/>
      <c r="H132" s="69"/>
      <c r="I132" s="69"/>
      <c r="J132" s="69"/>
      <c r="K132" s="69"/>
      <c r="L132" s="69"/>
      <c r="M132" s="69"/>
      <c r="N132" s="69"/>
      <c r="O132" s="69"/>
      <c r="P132" s="69"/>
      <c r="Q132" s="69"/>
      <c r="R132" s="69"/>
    </row>
    <row r="133" spans="2:18">
      <c r="B133" s="547">
        <v>2017</v>
      </c>
      <c r="D133" s="69"/>
      <c r="E133" s="69"/>
      <c r="F133" s="69"/>
      <c r="G133" s="69"/>
      <c r="H133" s="69"/>
      <c r="I133" s="69"/>
      <c r="J133" s="69"/>
      <c r="K133" s="69"/>
      <c r="L133" s="69"/>
      <c r="M133" s="69"/>
      <c r="N133" s="69"/>
      <c r="O133" s="69"/>
      <c r="P133" s="69"/>
      <c r="Q133" s="69"/>
      <c r="R133" s="69"/>
    </row>
    <row r="134" spans="2:18">
      <c r="B134" s="547">
        <v>2018</v>
      </c>
      <c r="D134" s="69"/>
      <c r="E134" s="69"/>
      <c r="F134" s="69"/>
      <c r="G134" s="69"/>
      <c r="H134" s="69">
        <f>Production!J131*Costs!H75</f>
        <v>510585013.67891902</v>
      </c>
      <c r="I134" s="69"/>
      <c r="J134" s="69"/>
      <c r="K134" s="69"/>
      <c r="L134" s="69"/>
      <c r="M134" s="69"/>
      <c r="N134" s="69"/>
      <c r="O134" s="69"/>
      <c r="P134" s="69"/>
      <c r="Q134" s="69"/>
      <c r="R134" s="69"/>
    </row>
    <row r="135" spans="2:18">
      <c r="B135" s="547">
        <v>2019</v>
      </c>
      <c r="D135" s="69"/>
      <c r="E135" s="69"/>
      <c r="F135" s="69"/>
      <c r="G135" s="69"/>
      <c r="H135" s="69"/>
      <c r="I135" s="69">
        <f>Production!K132*Costs!I76</f>
        <v>611202143.01586199</v>
      </c>
      <c r="J135" s="69"/>
      <c r="K135" s="69"/>
      <c r="L135" s="69"/>
      <c r="M135" s="69"/>
      <c r="N135" s="69"/>
      <c r="O135" s="69"/>
      <c r="P135" s="69"/>
      <c r="Q135" s="69"/>
      <c r="R135" s="69"/>
    </row>
    <row r="136" spans="2:18">
      <c r="B136" s="547">
        <v>2020</v>
      </c>
      <c r="D136" s="69"/>
      <c r="E136" s="69"/>
      <c r="F136" s="69"/>
      <c r="G136" s="69"/>
      <c r="H136" s="69"/>
      <c r="I136" s="69"/>
      <c r="J136" s="69">
        <f>Production!L133*Costs!J77</f>
        <v>723331661.86753559</v>
      </c>
      <c r="K136" s="69"/>
      <c r="L136" s="69"/>
      <c r="M136" s="69"/>
      <c r="N136" s="69"/>
      <c r="O136" s="69"/>
      <c r="P136" s="69"/>
      <c r="Q136" s="69"/>
      <c r="R136" s="69"/>
    </row>
    <row r="137" spans="2:18">
      <c r="B137" s="547">
        <v>2021</v>
      </c>
      <c r="K137" s="69">
        <f>Production!M134*Costs!K78</f>
        <v>845326618.12509847</v>
      </c>
      <c r="L137" s="69"/>
    </row>
    <row r="138" spans="2:18">
      <c r="B138" s="547">
        <v>2022</v>
      </c>
      <c r="L138" s="69">
        <f>Production!N135*Costs!L79</f>
        <v>1448247117.897037</v>
      </c>
      <c r="M138" s="69"/>
      <c r="N138" s="69"/>
      <c r="O138" s="69"/>
      <c r="P138" s="69"/>
      <c r="Q138" s="69"/>
      <c r="R138" s="69"/>
    </row>
    <row r="139" spans="2:18">
      <c r="B139" s="547">
        <v>2023</v>
      </c>
      <c r="M139" s="69" t="e">
        <f>Production!O136*Costs!M80</f>
        <v>#DIV/0!</v>
      </c>
      <c r="N139" s="69"/>
      <c r="O139" s="69"/>
      <c r="P139" s="69"/>
      <c r="Q139" s="69"/>
      <c r="R139" s="69"/>
    </row>
    <row r="140" spans="2:18">
      <c r="B140" s="547">
        <v>2024</v>
      </c>
      <c r="M140" s="69"/>
      <c r="N140" s="69" t="e">
        <f>Production!P137*Costs!N81</f>
        <v>#DIV/0!</v>
      </c>
    </row>
    <row r="141" spans="2:18">
      <c r="B141" s="547">
        <v>2025</v>
      </c>
      <c r="N141" s="69"/>
      <c r="O141" s="69" t="e">
        <f>Production!Q138*Costs!O82</f>
        <v>#DIV/0!</v>
      </c>
    </row>
    <row r="142" spans="2:18">
      <c r="B142" s="547">
        <v>2026</v>
      </c>
      <c r="O142" s="69"/>
      <c r="P142" s="69" t="e">
        <f>Production!R139*Costs!P83</f>
        <v>#DIV/0!</v>
      </c>
    </row>
    <row r="143" spans="2:18">
      <c r="B143" s="547">
        <v>2027</v>
      </c>
      <c r="P143" s="69"/>
      <c r="Q143" s="69" t="e">
        <f>Production!S140*Costs!Q84</f>
        <v>#DIV/0!</v>
      </c>
    </row>
    <row r="144" spans="2:18">
      <c r="B144" s="547">
        <v>2028</v>
      </c>
      <c r="Q144" s="69"/>
      <c r="R144" s="69" t="e">
        <f>Production!T141*Costs!R85</f>
        <v>#DIV/0!</v>
      </c>
    </row>
    <row r="145" spans="2:18">
      <c r="B145" s="547">
        <v>2029</v>
      </c>
    </row>
    <row r="146" spans="2:18">
      <c r="B146" s="348"/>
    </row>
    <row r="147" spans="2:18">
      <c r="B147" s="122" t="s">
        <v>0</v>
      </c>
      <c r="C147" s="123"/>
      <c r="D147" s="124">
        <f>SUM(D130:D140)</f>
        <v>0</v>
      </c>
      <c r="E147" s="124">
        <f>SUM(E130:E140)</f>
        <v>0</v>
      </c>
      <c r="F147" s="124">
        <f>SUM(F130:F140)</f>
        <v>0</v>
      </c>
      <c r="G147" s="124">
        <f>SUM(G130:G140)</f>
        <v>0</v>
      </c>
      <c r="H147" s="124">
        <f>H134+G134</f>
        <v>510585013.67891902</v>
      </c>
      <c r="I147" s="124">
        <f>I135+H135</f>
        <v>611202143.01586199</v>
      </c>
      <c r="J147" s="124">
        <f>J136+I136</f>
        <v>723331661.86753559</v>
      </c>
      <c r="K147" s="124">
        <f>K137+J137</f>
        <v>845326618.12509847</v>
      </c>
      <c r="L147" s="124">
        <f>L138+K138</f>
        <v>1448247117.897037</v>
      </c>
      <c r="M147" s="124" t="e">
        <f>M139+L139</f>
        <v>#DIV/0!</v>
      </c>
      <c r="N147" s="124" t="e">
        <f>N140+M140</f>
        <v>#DIV/0!</v>
      </c>
      <c r="O147" s="124" t="e">
        <f>O141+N141</f>
        <v>#DIV/0!</v>
      </c>
      <c r="P147" s="124" t="e">
        <f>P142+O142</f>
        <v>#DIV/0!</v>
      </c>
      <c r="Q147" s="124" t="e">
        <f>Q143+P143</f>
        <v>#DIV/0!</v>
      </c>
      <c r="R147" s="124" t="e">
        <f>R144+Q144</f>
        <v>#DIV/0!</v>
      </c>
    </row>
    <row r="148" spans="2:18">
      <c r="B148" s="46"/>
      <c r="C148" s="35"/>
      <c r="D148" s="29"/>
      <c r="E148" s="29"/>
      <c r="F148" s="29"/>
      <c r="G148" s="29"/>
      <c r="H148" s="29"/>
      <c r="I148" s="29"/>
      <c r="J148" s="29"/>
      <c r="K148" s="29"/>
      <c r="L148" s="29"/>
      <c r="M148" s="29"/>
      <c r="N148" s="29"/>
      <c r="O148" s="29"/>
      <c r="P148" s="29"/>
      <c r="Q148" s="29"/>
      <c r="R148" s="29"/>
    </row>
    <row r="149" spans="2:18">
      <c r="B149" s="46" t="s">
        <v>114</v>
      </c>
    </row>
    <row r="150" spans="2:18">
      <c r="B150" s="62" t="s">
        <v>225</v>
      </c>
    </row>
    <row r="151" spans="2:18">
      <c r="B151" s="547">
        <v>2014</v>
      </c>
      <c r="D151" s="8"/>
      <c r="E151" s="8"/>
      <c r="F151" s="8"/>
      <c r="G151" s="8"/>
      <c r="H151" s="8"/>
      <c r="I151" s="8"/>
      <c r="J151" s="8"/>
      <c r="K151" s="8"/>
      <c r="L151" s="8"/>
      <c r="M151" s="8"/>
      <c r="N151" s="8"/>
      <c r="O151" s="8"/>
      <c r="P151" s="8"/>
      <c r="Q151" s="8"/>
      <c r="R151" s="8"/>
    </row>
    <row r="152" spans="2:18">
      <c r="B152" s="547">
        <v>2015</v>
      </c>
      <c r="D152" s="8"/>
      <c r="E152" s="8"/>
      <c r="F152" s="8"/>
      <c r="G152" s="8"/>
      <c r="H152" s="8"/>
      <c r="I152" s="8"/>
      <c r="J152" s="8"/>
      <c r="K152" s="8"/>
      <c r="L152" s="8"/>
      <c r="M152" s="8"/>
      <c r="N152" s="8"/>
      <c r="O152" s="8"/>
      <c r="P152" s="8"/>
      <c r="Q152" s="8"/>
      <c r="R152" s="8"/>
    </row>
    <row r="153" spans="2:18">
      <c r="B153" s="547">
        <v>2016</v>
      </c>
      <c r="D153" s="8"/>
      <c r="E153" s="8"/>
      <c r="F153" s="8"/>
      <c r="G153" s="8"/>
      <c r="H153" s="8"/>
      <c r="I153" s="8"/>
      <c r="J153" s="8"/>
      <c r="K153" s="8"/>
      <c r="L153" s="8"/>
      <c r="M153" s="8"/>
      <c r="N153" s="8"/>
      <c r="O153" s="8"/>
      <c r="P153" s="8"/>
      <c r="Q153" s="8"/>
      <c r="R153" s="8"/>
    </row>
    <row r="154" spans="2:18">
      <c r="B154" s="547">
        <v>2017</v>
      </c>
      <c r="D154" s="8"/>
      <c r="E154" s="8"/>
      <c r="F154" s="8"/>
      <c r="G154" s="8"/>
      <c r="H154" s="8"/>
      <c r="I154" s="8"/>
      <c r="J154" s="8"/>
      <c r="K154" s="8"/>
      <c r="L154" s="8"/>
      <c r="M154" s="8"/>
      <c r="N154" s="8"/>
      <c r="O154" s="8"/>
      <c r="P154" s="8"/>
      <c r="Q154" s="8"/>
      <c r="R154" s="8"/>
    </row>
    <row r="155" spans="2:18">
      <c r="B155" s="547">
        <v>2018</v>
      </c>
      <c r="D155" s="8"/>
      <c r="E155" s="8"/>
      <c r="F155" s="8"/>
      <c r="G155" s="8">
        <f>Production!I151*Costs!G93</f>
        <v>193798238.57897747</v>
      </c>
      <c r="H155" s="8">
        <f>Production!J151*Costs!H93</f>
        <v>388289930.02859616</v>
      </c>
      <c r="I155" s="8"/>
      <c r="J155" s="8"/>
      <c r="K155" s="8"/>
      <c r="L155" s="8"/>
      <c r="M155" s="8"/>
      <c r="N155" s="8"/>
      <c r="O155" s="8"/>
      <c r="P155" s="8"/>
      <c r="Q155" s="8"/>
      <c r="R155" s="8"/>
    </row>
    <row r="156" spans="2:18">
      <c r="B156" s="547">
        <v>2019</v>
      </c>
      <c r="D156" s="8"/>
      <c r="E156" s="8"/>
      <c r="F156" s="8"/>
      <c r="G156" s="8"/>
      <c r="H156" s="8">
        <f>Production!J152*Costs!H93</f>
        <v>207246772.46925068</v>
      </c>
      <c r="I156" s="8">
        <f>Production!K152*Costs!I94</f>
        <v>562917575.59097517</v>
      </c>
      <c r="J156" s="8"/>
      <c r="K156" s="8"/>
      <c r="L156" s="8"/>
      <c r="M156" s="8"/>
      <c r="N156" s="8"/>
      <c r="O156" s="8"/>
      <c r="P156" s="8"/>
      <c r="Q156" s="8"/>
      <c r="R156" s="8"/>
    </row>
    <row r="157" spans="2:18">
      <c r="B157" s="547">
        <v>2020</v>
      </c>
      <c r="D157" s="8"/>
      <c r="E157" s="8"/>
      <c r="F157" s="8"/>
      <c r="G157" s="8"/>
      <c r="H157" s="8"/>
      <c r="I157" s="8">
        <f>Production!K153*Costs!I94</f>
        <v>389565631.83876282</v>
      </c>
      <c r="J157" s="8">
        <f>Production!L153*Costs!J95</f>
        <v>688163260.35676312</v>
      </c>
      <c r="K157" s="8"/>
      <c r="L157" s="8"/>
      <c r="M157" s="8"/>
      <c r="N157" s="8"/>
      <c r="O157" s="8"/>
      <c r="P157" s="8"/>
      <c r="Q157" s="8"/>
      <c r="R157" s="8"/>
    </row>
    <row r="158" spans="2:18">
      <c r="B158" s="547">
        <v>2021</v>
      </c>
      <c r="D158" s="8"/>
      <c r="E158" s="8"/>
      <c r="F158" s="8"/>
      <c r="G158" s="8"/>
      <c r="H158" s="8"/>
      <c r="I158" s="8"/>
      <c r="J158" s="8">
        <f>Production!L154*Costs!J95</f>
        <v>451179885.92926854</v>
      </c>
      <c r="K158" s="8">
        <f>Production!M154*Costs!K96</f>
        <v>733017896.10075474</v>
      </c>
      <c r="L158" s="8"/>
      <c r="M158" s="8"/>
      <c r="N158" s="8"/>
      <c r="O158" s="8"/>
      <c r="P158" s="8"/>
      <c r="Q158" s="8"/>
      <c r="R158" s="8"/>
    </row>
    <row r="159" spans="2:18">
      <c r="B159" s="547">
        <v>2022</v>
      </c>
      <c r="D159" s="8"/>
      <c r="E159" s="8"/>
      <c r="F159" s="8"/>
      <c r="G159" s="8"/>
      <c r="H159" s="8"/>
      <c r="I159" s="8"/>
      <c r="J159" s="8"/>
      <c r="K159" s="8">
        <f>Production!M155*Costs!K96</f>
        <v>488678597.40050316</v>
      </c>
      <c r="L159" s="8">
        <f>Production!N155*Costs!L97</f>
        <v>1291527155.5941277</v>
      </c>
      <c r="M159" s="8"/>
      <c r="N159" s="8"/>
      <c r="O159" s="8"/>
      <c r="P159" s="8"/>
      <c r="Q159" s="8"/>
      <c r="R159" s="8"/>
    </row>
    <row r="160" spans="2:18">
      <c r="B160" s="547">
        <v>2023</v>
      </c>
      <c r="D160" s="8"/>
      <c r="E160" s="8"/>
      <c r="F160" s="8"/>
      <c r="G160" s="8"/>
      <c r="H160" s="8"/>
      <c r="I160" s="8"/>
      <c r="J160" s="8"/>
      <c r="K160" s="8"/>
      <c r="L160" s="8">
        <f>Production!N156*Costs!L97</f>
        <v>861018103.72941852</v>
      </c>
      <c r="M160" s="8" t="e">
        <f>Production!O156*Costs!M98</f>
        <v>#DIV/0!</v>
      </c>
      <c r="N160" s="8"/>
      <c r="O160" s="8"/>
      <c r="P160" s="8"/>
      <c r="Q160" s="8"/>
      <c r="R160" s="8"/>
    </row>
    <row r="161" spans="2:18">
      <c r="B161" s="547">
        <v>2024</v>
      </c>
      <c r="D161" s="8"/>
      <c r="E161" s="8"/>
      <c r="F161" s="8"/>
      <c r="G161" s="8"/>
      <c r="H161" s="8"/>
      <c r="I161" s="8"/>
      <c r="J161" s="8"/>
      <c r="K161" s="8"/>
      <c r="L161" s="8"/>
      <c r="M161" s="8" t="e">
        <f>Production!O157*Costs!M98</f>
        <v>#DIV/0!</v>
      </c>
      <c r="N161" s="8" t="e">
        <f>Production!P157*Costs!N99</f>
        <v>#DIV/0!</v>
      </c>
      <c r="O161" s="8"/>
      <c r="P161" s="8"/>
      <c r="Q161" s="8"/>
      <c r="R161" s="8"/>
    </row>
    <row r="162" spans="2:18">
      <c r="B162" s="547">
        <v>2025</v>
      </c>
      <c r="D162" s="8"/>
      <c r="E162" s="8"/>
      <c r="F162" s="8"/>
      <c r="G162" s="8"/>
      <c r="H162" s="8"/>
      <c r="I162" s="8"/>
      <c r="J162" s="8"/>
      <c r="K162" s="8"/>
      <c r="L162" s="8"/>
      <c r="M162" s="8"/>
      <c r="N162" s="8" t="e">
        <f>Production!P158*Costs!N99</f>
        <v>#DIV/0!</v>
      </c>
      <c r="O162" s="8" t="e">
        <f>Production!Q158*Costs!O100</f>
        <v>#DIV/0!</v>
      </c>
      <c r="P162" s="8"/>
      <c r="Q162" s="8"/>
      <c r="R162" s="8"/>
    </row>
    <row r="163" spans="2:18">
      <c r="B163" s="547">
        <v>2026</v>
      </c>
      <c r="D163" s="8"/>
      <c r="E163" s="8"/>
      <c r="F163" s="8"/>
      <c r="G163" s="8"/>
      <c r="H163" s="8"/>
      <c r="I163" s="8"/>
      <c r="J163" s="8"/>
      <c r="K163" s="8"/>
      <c r="L163" s="8"/>
      <c r="M163" s="8"/>
      <c r="N163" s="8"/>
      <c r="O163" s="8" t="e">
        <f>Production!Q159*Costs!O100</f>
        <v>#DIV/0!</v>
      </c>
      <c r="P163" s="8" t="e">
        <f>Production!R159*Costs!P101</f>
        <v>#DIV/0!</v>
      </c>
      <c r="Q163" s="8"/>
      <c r="R163" s="8"/>
    </row>
    <row r="164" spans="2:18">
      <c r="B164" s="547">
        <v>2027</v>
      </c>
      <c r="D164" s="8"/>
      <c r="E164" s="8"/>
      <c r="F164" s="8"/>
      <c r="G164" s="8"/>
      <c r="H164" s="8"/>
      <c r="I164" s="8"/>
      <c r="J164" s="8"/>
      <c r="K164" s="8"/>
      <c r="L164" s="8"/>
      <c r="M164" s="8"/>
      <c r="N164" s="8"/>
      <c r="O164" s="8"/>
      <c r="P164" s="8" t="e">
        <f>Production!R160*Costs!P101</f>
        <v>#DIV/0!</v>
      </c>
      <c r="Q164" s="8" t="e">
        <f>Production!S160*Costs!Q102</f>
        <v>#DIV/0!</v>
      </c>
      <c r="R164" s="8"/>
    </row>
    <row r="165" spans="2:18">
      <c r="B165" s="547">
        <v>2028</v>
      </c>
      <c r="D165" s="8"/>
      <c r="E165" s="8"/>
      <c r="F165" s="8"/>
      <c r="G165" s="8"/>
      <c r="H165" s="8"/>
      <c r="I165" s="8"/>
      <c r="J165" s="8"/>
      <c r="K165" s="8"/>
      <c r="L165" s="8"/>
      <c r="M165" s="8"/>
      <c r="N165" s="8"/>
      <c r="O165" s="8"/>
      <c r="P165" s="8"/>
      <c r="Q165" s="8" t="e">
        <f>Production!S161*Costs!Q102</f>
        <v>#DIV/0!</v>
      </c>
      <c r="R165" s="8" t="e">
        <f>Production!T161*Costs!R103</f>
        <v>#DIV/0!</v>
      </c>
    </row>
    <row r="166" spans="2:18">
      <c r="B166" s="547">
        <v>2029</v>
      </c>
      <c r="D166" s="8"/>
      <c r="E166" s="8"/>
      <c r="F166" s="8"/>
      <c r="G166" s="8"/>
      <c r="H166" s="8"/>
      <c r="I166" s="8"/>
      <c r="J166" s="8"/>
      <c r="K166" s="8"/>
      <c r="L166" s="8"/>
      <c r="M166" s="8"/>
      <c r="N166" s="8"/>
      <c r="O166" s="8"/>
      <c r="P166" s="8"/>
      <c r="Q166" s="8"/>
      <c r="R166" s="8"/>
    </row>
    <row r="167" spans="2:18">
      <c r="B167" s="62"/>
    </row>
    <row r="168" spans="2:18">
      <c r="B168" s="122" t="s">
        <v>0</v>
      </c>
      <c r="C168" s="123"/>
      <c r="D168" s="124">
        <f>SUM(D151:D161)</f>
        <v>0</v>
      </c>
      <c r="E168" s="124">
        <f>SUM(E151:E167)</f>
        <v>0</v>
      </c>
      <c r="F168" s="124">
        <f>SUM(F151:F161)</f>
        <v>0</v>
      </c>
      <c r="G168" s="124">
        <f>G154+F154</f>
        <v>0</v>
      </c>
      <c r="H168" s="124">
        <f>H155+G155</f>
        <v>582088168.60757363</v>
      </c>
      <c r="I168" s="124">
        <f>I156+H156</f>
        <v>770164348.06022584</v>
      </c>
      <c r="J168" s="124">
        <f>J157+I157</f>
        <v>1077728892.1955259</v>
      </c>
      <c r="K168" s="124">
        <f>K158+J158</f>
        <v>1184197782.0300233</v>
      </c>
      <c r="L168" s="124">
        <f>L159+K159</f>
        <v>1780205752.9946308</v>
      </c>
      <c r="M168" s="124" t="e">
        <f>M160+L160</f>
        <v>#DIV/0!</v>
      </c>
      <c r="N168" s="124" t="e">
        <f>N161+M161</f>
        <v>#DIV/0!</v>
      </c>
      <c r="O168" s="124" t="e">
        <f>O162+N162</f>
        <v>#DIV/0!</v>
      </c>
      <c r="P168" s="124" t="e">
        <f>P163+O163</f>
        <v>#DIV/0!</v>
      </c>
      <c r="Q168" s="124" t="e">
        <f>Q164+P164</f>
        <v>#DIV/0!</v>
      </c>
      <c r="R168" s="124" t="e">
        <f>R165+Q165</f>
        <v>#DIV/0!</v>
      </c>
    </row>
    <row r="169" spans="2:18">
      <c r="B169" s="46"/>
      <c r="C169" s="35"/>
      <c r="D169" s="29"/>
      <c r="E169" s="29"/>
      <c r="F169" s="29"/>
      <c r="G169" s="29"/>
      <c r="H169" s="29"/>
      <c r="I169" s="29"/>
      <c r="J169" s="29"/>
      <c r="K169" s="29"/>
      <c r="L169" s="29"/>
      <c r="M169" s="29"/>
      <c r="N169" s="29"/>
      <c r="O169" s="29"/>
      <c r="P169" s="29"/>
      <c r="Q169" s="29"/>
      <c r="R169" s="29"/>
    </row>
    <row r="170" spans="2:18">
      <c r="B170" s="46" t="s">
        <v>93</v>
      </c>
    </row>
    <row r="171" spans="2:18">
      <c r="B171" s="62" t="s">
        <v>225</v>
      </c>
    </row>
    <row r="172" spans="2:18">
      <c r="B172" s="547">
        <v>2014</v>
      </c>
      <c r="D172" s="8"/>
      <c r="E172" s="8"/>
      <c r="F172" s="8"/>
      <c r="G172" s="8"/>
      <c r="H172" s="8"/>
      <c r="I172" s="8"/>
      <c r="J172" s="8"/>
      <c r="K172" s="8"/>
      <c r="L172" s="8"/>
      <c r="M172" s="8"/>
      <c r="N172" s="8"/>
      <c r="O172" s="8"/>
      <c r="P172" s="8"/>
      <c r="Q172" s="8"/>
      <c r="R172" s="8"/>
    </row>
    <row r="173" spans="2:18">
      <c r="B173" s="547">
        <v>2015</v>
      </c>
      <c r="D173" s="8"/>
      <c r="E173" s="8"/>
      <c r="F173" s="8"/>
      <c r="G173" s="8"/>
      <c r="H173" s="8"/>
      <c r="I173" s="8"/>
      <c r="J173" s="8"/>
      <c r="K173" s="8"/>
      <c r="L173" s="8"/>
      <c r="M173" s="8"/>
      <c r="N173" s="8"/>
      <c r="O173" s="8"/>
      <c r="P173" s="8"/>
      <c r="Q173" s="8"/>
      <c r="R173" s="8"/>
    </row>
    <row r="174" spans="2:18">
      <c r="B174" s="547">
        <v>2016</v>
      </c>
      <c r="D174" s="8"/>
      <c r="E174" s="8"/>
      <c r="F174" s="8"/>
      <c r="G174" s="8"/>
      <c r="H174" s="8"/>
      <c r="I174" s="8"/>
      <c r="J174" s="8"/>
      <c r="K174" s="8"/>
      <c r="L174" s="8"/>
      <c r="M174" s="8"/>
      <c r="N174" s="8"/>
      <c r="O174" s="8"/>
      <c r="P174" s="8"/>
      <c r="Q174" s="8"/>
      <c r="R174" s="8"/>
    </row>
    <row r="175" spans="2:18">
      <c r="B175" s="547">
        <v>2017</v>
      </c>
      <c r="D175" s="8"/>
      <c r="E175" s="8"/>
      <c r="F175" s="8"/>
      <c r="G175" s="8"/>
      <c r="H175" s="8"/>
      <c r="I175" s="8"/>
      <c r="J175" s="8"/>
      <c r="K175" s="8"/>
      <c r="L175" s="8"/>
      <c r="M175" s="8"/>
      <c r="N175" s="8"/>
      <c r="O175" s="8"/>
      <c r="P175" s="8"/>
      <c r="Q175" s="8"/>
      <c r="R175" s="8"/>
    </row>
    <row r="176" spans="2:18">
      <c r="B176" s="547">
        <v>2018</v>
      </c>
      <c r="D176" s="8"/>
      <c r="E176" s="8"/>
      <c r="F176" s="8"/>
      <c r="G176" s="8">
        <f>Production!I191*Costs!G112</f>
        <v>5005019.3250000002</v>
      </c>
      <c r="H176" s="8">
        <f>Production!J191*Costs!H113</f>
        <v>116742966.6256254</v>
      </c>
      <c r="I176" s="8"/>
      <c r="J176" s="8"/>
      <c r="K176" s="8"/>
      <c r="L176" s="8"/>
      <c r="M176" s="8"/>
      <c r="N176" s="8"/>
      <c r="O176" s="8"/>
      <c r="P176" s="8"/>
      <c r="Q176" s="8"/>
      <c r="R176" s="8"/>
    </row>
    <row r="177" spans="2:18">
      <c r="B177" s="547">
        <v>2019</v>
      </c>
      <c r="D177" s="8"/>
      <c r="E177" s="8"/>
      <c r="F177" s="8"/>
      <c r="G177" s="8"/>
      <c r="H177" s="8">
        <f>Production!J192*Costs!H114</f>
        <v>12654911.121737778</v>
      </c>
      <c r="I177" s="8">
        <f>Production!K192*Costs!I114</f>
        <v>172637346.29055908</v>
      </c>
      <c r="J177" s="8"/>
      <c r="K177" s="8"/>
      <c r="L177" s="8"/>
      <c r="M177" s="8"/>
      <c r="N177" s="8"/>
      <c r="O177" s="8"/>
      <c r="P177" s="8"/>
      <c r="Q177" s="8"/>
      <c r="R177" s="8"/>
    </row>
    <row r="178" spans="2:18">
      <c r="B178" s="547">
        <v>2020</v>
      </c>
      <c r="D178" s="8"/>
      <c r="E178" s="8"/>
      <c r="F178" s="8"/>
      <c r="G178" s="8"/>
      <c r="H178" s="8"/>
      <c r="I178" s="8">
        <f>Production!K193*Costs!I115</f>
        <v>12162513.807095304</v>
      </c>
      <c r="J178" s="8">
        <f>Production!L193*Costs!J115</f>
        <v>192299375.06993014</v>
      </c>
      <c r="K178" s="8"/>
      <c r="L178" s="8"/>
      <c r="M178" s="8"/>
      <c r="N178" s="8"/>
      <c r="O178" s="8"/>
      <c r="P178" s="8"/>
      <c r="Q178" s="8"/>
      <c r="R178" s="8"/>
    </row>
    <row r="179" spans="2:18">
      <c r="B179" s="547">
        <v>2021</v>
      </c>
      <c r="D179" s="8"/>
      <c r="E179" s="8"/>
      <c r="F179" s="8"/>
      <c r="G179" s="8"/>
      <c r="H179" s="8"/>
      <c r="I179" s="8"/>
      <c r="J179" s="8">
        <f>Production!L194*Costs!J116</f>
        <v>31929237.048784342</v>
      </c>
      <c r="K179" s="8">
        <f>Production!M194*Costs!K116</f>
        <v>317069456.88729292</v>
      </c>
      <c r="L179" s="8"/>
      <c r="M179" s="8"/>
      <c r="N179" s="8"/>
      <c r="O179" s="8"/>
      <c r="P179" s="8"/>
      <c r="Q179" s="8"/>
      <c r="R179" s="8"/>
    </row>
    <row r="180" spans="2:18">
      <c r="B180" s="547">
        <v>2022</v>
      </c>
      <c r="D180" s="8"/>
      <c r="E180" s="8"/>
      <c r="F180" s="8"/>
      <c r="G180" s="8"/>
      <c r="H180" s="8"/>
      <c r="I180" s="8"/>
      <c r="J180" s="8"/>
      <c r="K180" s="8">
        <f>Production!M195*Costs!K117</f>
        <v>35590525.878577664</v>
      </c>
      <c r="L180" s="8">
        <f>Production!N195*Costs!L117</f>
        <v>449066776.76224297</v>
      </c>
      <c r="M180" s="8"/>
      <c r="N180" s="8"/>
      <c r="O180" s="8"/>
      <c r="P180" s="8"/>
      <c r="Q180" s="8"/>
      <c r="R180" s="8"/>
    </row>
    <row r="181" spans="2:18">
      <c r="B181" s="547">
        <v>2023</v>
      </c>
      <c r="D181" s="8"/>
      <c r="E181" s="8"/>
      <c r="F181" s="8"/>
      <c r="G181" s="8"/>
      <c r="H181" s="8"/>
      <c r="I181" s="8"/>
      <c r="J181" s="8"/>
      <c r="K181" s="8"/>
      <c r="L181" s="8" t="e">
        <f>Production!N196*Costs!L118</f>
        <v>#DIV/0!</v>
      </c>
      <c r="M181" s="8" t="e">
        <f>Production!O196*Costs!M118</f>
        <v>#DIV/0!</v>
      </c>
      <c r="N181" s="8"/>
      <c r="O181" s="8"/>
      <c r="P181" s="8"/>
      <c r="Q181" s="8"/>
      <c r="R181" s="8"/>
    </row>
    <row r="182" spans="2:18">
      <c r="B182" s="547">
        <v>2024</v>
      </c>
      <c r="D182" s="8"/>
      <c r="E182" s="8"/>
      <c r="F182" s="8"/>
      <c r="G182" s="8"/>
      <c r="H182" s="8"/>
      <c r="I182" s="8"/>
      <c r="J182" s="8"/>
      <c r="K182" s="8"/>
      <c r="L182" s="8"/>
      <c r="M182" s="8" t="e">
        <f>Production!O197*Costs!M119</f>
        <v>#DIV/0!</v>
      </c>
      <c r="N182" s="8" t="e">
        <f>Production!P197*Costs!N119</f>
        <v>#DIV/0!</v>
      </c>
      <c r="O182" s="8"/>
      <c r="P182" s="8"/>
      <c r="Q182" s="8"/>
      <c r="R182" s="8"/>
    </row>
    <row r="183" spans="2:18">
      <c r="B183" s="547">
        <v>2025</v>
      </c>
      <c r="D183" s="8"/>
      <c r="E183" s="8"/>
      <c r="F183" s="8"/>
      <c r="G183" s="8"/>
      <c r="H183" s="8"/>
      <c r="I183" s="8"/>
      <c r="J183" s="8"/>
      <c r="K183" s="8"/>
      <c r="L183" s="8"/>
      <c r="M183" s="8"/>
      <c r="N183" s="8" t="e">
        <f>Production!P198*Costs!N120</f>
        <v>#DIV/0!</v>
      </c>
      <c r="O183" s="8" t="e">
        <f>Production!Q198*Costs!O120</f>
        <v>#DIV/0!</v>
      </c>
      <c r="P183" s="8"/>
      <c r="Q183" s="8"/>
      <c r="R183" s="8"/>
    </row>
    <row r="184" spans="2:18">
      <c r="B184" s="547">
        <v>2026</v>
      </c>
      <c r="D184" s="8"/>
      <c r="E184" s="8"/>
      <c r="F184" s="8"/>
      <c r="G184" s="8"/>
      <c r="H184" s="8"/>
      <c r="I184" s="8"/>
      <c r="J184" s="8"/>
      <c r="K184" s="8"/>
      <c r="L184" s="8"/>
      <c r="M184" s="8"/>
      <c r="N184" s="8"/>
      <c r="O184" s="8" t="e">
        <f>Production!Q199*Costs!O121</f>
        <v>#DIV/0!</v>
      </c>
      <c r="P184" s="8" t="e">
        <f>Production!R199*Costs!P121</f>
        <v>#DIV/0!</v>
      </c>
      <c r="Q184" s="8"/>
      <c r="R184" s="8"/>
    </row>
    <row r="185" spans="2:18">
      <c r="B185" s="547">
        <v>2027</v>
      </c>
      <c r="D185" s="8"/>
      <c r="E185" s="8"/>
      <c r="F185" s="8"/>
      <c r="G185" s="8"/>
      <c r="H185" s="8"/>
      <c r="I185" s="8"/>
      <c r="J185" s="8"/>
      <c r="K185" s="8"/>
      <c r="L185" s="8"/>
      <c r="M185" s="8"/>
      <c r="N185" s="8"/>
      <c r="O185" s="8"/>
      <c r="P185" s="8" t="e">
        <f>Production!R200*Costs!P122</f>
        <v>#DIV/0!</v>
      </c>
      <c r="Q185" s="8" t="e">
        <f>Production!S200*Costs!Q122</f>
        <v>#DIV/0!</v>
      </c>
      <c r="R185" s="8"/>
    </row>
    <row r="186" spans="2:18">
      <c r="B186" s="547">
        <v>2028</v>
      </c>
      <c r="D186" s="8"/>
      <c r="E186" s="8"/>
      <c r="F186" s="8"/>
      <c r="G186" s="8"/>
      <c r="H186" s="8"/>
      <c r="I186" s="8"/>
      <c r="J186" s="8"/>
      <c r="K186" s="8"/>
      <c r="L186" s="8"/>
      <c r="M186" s="8"/>
      <c r="N186" s="8"/>
      <c r="O186" s="8"/>
      <c r="P186" s="8"/>
      <c r="Q186" s="8" t="e">
        <f>Production!S201*Costs!Q123</f>
        <v>#DIV/0!</v>
      </c>
      <c r="R186" s="8" t="e">
        <f>Production!T201*Costs!R123</f>
        <v>#DIV/0!</v>
      </c>
    </row>
    <row r="187" spans="2:18">
      <c r="B187" s="547">
        <v>2029</v>
      </c>
      <c r="D187" s="8"/>
      <c r="E187" s="8"/>
      <c r="F187" s="8"/>
      <c r="G187" s="8"/>
      <c r="H187" s="8"/>
      <c r="I187" s="8"/>
      <c r="J187" s="8"/>
      <c r="K187" s="8"/>
      <c r="L187" s="8"/>
      <c r="M187" s="8"/>
      <c r="N187" s="8"/>
      <c r="O187" s="8"/>
      <c r="P187" s="8"/>
      <c r="Q187" s="8"/>
      <c r="R187" s="8"/>
    </row>
    <row r="188" spans="2:18">
      <c r="B188" s="62"/>
    </row>
    <row r="189" spans="2:18">
      <c r="B189" s="122" t="s">
        <v>0</v>
      </c>
      <c r="C189" s="123"/>
      <c r="D189" s="124">
        <f>SUM(D172:D182)</f>
        <v>0</v>
      </c>
      <c r="E189" s="124">
        <f>SUM(E172:E182)</f>
        <v>0</v>
      </c>
      <c r="F189" s="124">
        <f>SUM(F172:F182)</f>
        <v>0</v>
      </c>
      <c r="G189" s="124">
        <f>G175+F175</f>
        <v>0</v>
      </c>
      <c r="H189" s="124">
        <f>H176+G176</f>
        <v>121747985.9506254</v>
      </c>
      <c r="I189" s="124">
        <f>I177+H177</f>
        <v>185292257.41229686</v>
      </c>
      <c r="J189" s="124">
        <f>J178+I178</f>
        <v>204461888.87702543</v>
      </c>
      <c r="K189" s="124">
        <f>K179+J179</f>
        <v>348998693.93607724</v>
      </c>
      <c r="L189" s="124">
        <f>L180+K180</f>
        <v>484657302.64082062</v>
      </c>
      <c r="M189" s="124" t="e">
        <f>M181+L181</f>
        <v>#DIV/0!</v>
      </c>
      <c r="N189" s="124" t="e">
        <f>N182+M182</f>
        <v>#DIV/0!</v>
      </c>
      <c r="O189" s="124" t="e">
        <f>O183+N183</f>
        <v>#DIV/0!</v>
      </c>
      <c r="P189" s="124" t="e">
        <f>P184+O184</f>
        <v>#DIV/0!</v>
      </c>
      <c r="Q189" s="124" t="e">
        <f>Q185+P185</f>
        <v>#DIV/0!</v>
      </c>
      <c r="R189" s="124" t="e">
        <f>R186+Q186</f>
        <v>#DIV/0!</v>
      </c>
    </row>
    <row r="190" spans="2:18">
      <c r="B190" s="62"/>
    </row>
  </sheetData>
  <sheetProtection selectLockedCells="1" selectUnlockedCells="1"/>
  <phoneticPr fontId="3" type="noConversion"/>
  <pageMargins left="0.78740157499999996" right="0.78740157499999996" top="0.984251969" bottom="0.984251969" header="0.49212598499999999" footer="0.49212598499999999"/>
  <pageSetup paperSize="9" scale="34"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Planilha7">
    <pageSetUpPr fitToPage="1"/>
  </sheetPr>
  <dimension ref="A1:AA129"/>
  <sheetViews>
    <sheetView showGridLines="0" zoomScaleNormal="100" workbookViewId="0">
      <pane xSplit="3" ySplit="7" topLeftCell="E8" activePane="bottomRight" state="frozen"/>
      <selection pane="topRight" activeCell="D1" sqref="D1"/>
      <selection pane="bottomLeft" activeCell="A8" sqref="A8"/>
      <selection pane="bottomRight" activeCell="M18" sqref="M18"/>
    </sheetView>
  </sheetViews>
  <sheetFormatPr defaultColWidth="0" defaultRowHeight="11.25"/>
  <cols>
    <col min="1" max="1" width="3.42578125" style="3" customWidth="1"/>
    <col min="2" max="2" width="40.42578125" style="3" customWidth="1"/>
    <col min="3" max="3" width="2.7109375" style="4" customWidth="1"/>
    <col min="4" max="4" width="9.85546875" style="3" hidden="1" customWidth="1"/>
    <col min="5" max="20" width="10.42578125" style="3" customWidth="1"/>
    <col min="21" max="21" width="3.28515625" style="3" customWidth="1"/>
    <col min="22" max="26" width="2" style="3" hidden="1" customWidth="1"/>
    <col min="27" max="27" width="15" style="3" hidden="1" customWidth="1"/>
    <col min="28" max="16384" width="0" style="3" hidden="1"/>
  </cols>
  <sheetData>
    <row r="1" spans="2:27" customFormat="1" ht="21.75" customHeight="1">
      <c r="B1" s="152" t="s">
        <v>2</v>
      </c>
      <c r="C1" s="25"/>
      <c r="D1" s="23"/>
      <c r="E1" s="23"/>
      <c r="F1" s="23"/>
      <c r="G1" s="23"/>
      <c r="H1" s="23"/>
      <c r="I1" s="23"/>
      <c r="J1" s="23"/>
      <c r="K1" s="23"/>
      <c r="L1" s="23"/>
      <c r="M1" s="23"/>
      <c r="N1" s="23"/>
      <c r="O1" s="23"/>
      <c r="P1" s="23"/>
      <c r="Q1" s="23"/>
      <c r="R1" s="23"/>
      <c r="S1" s="23"/>
      <c r="T1" s="23"/>
    </row>
    <row r="2" spans="2:27" customFormat="1" ht="16.5" customHeight="1" thickBot="1">
      <c r="B2" s="153" t="s">
        <v>28</v>
      </c>
      <c r="C2" s="24"/>
      <c r="D2" s="24"/>
      <c r="E2" s="24"/>
      <c r="F2" s="24"/>
      <c r="G2" s="24"/>
      <c r="H2" s="24"/>
      <c r="I2" s="24"/>
      <c r="J2" s="24"/>
      <c r="K2" s="24"/>
      <c r="L2" s="24"/>
      <c r="M2" s="24"/>
      <c r="N2" s="24"/>
      <c r="O2" s="24"/>
      <c r="P2" s="24"/>
      <c r="Q2" s="24"/>
      <c r="R2" s="24"/>
      <c r="S2" s="24"/>
      <c r="T2" s="24"/>
    </row>
    <row r="3" spans="2:27" customFormat="1" ht="24" customHeight="1">
      <c r="B3" s="22"/>
      <c r="C3" s="22"/>
      <c r="D3" s="22"/>
      <c r="E3" s="22"/>
      <c r="F3" s="22"/>
      <c r="G3" s="22"/>
      <c r="H3" s="22"/>
      <c r="I3" s="22"/>
      <c r="J3" s="45"/>
      <c r="K3" s="45"/>
      <c r="L3" s="45"/>
      <c r="M3" s="45"/>
      <c r="N3" s="45"/>
      <c r="O3" s="45"/>
      <c r="P3" s="45"/>
      <c r="Q3" s="45"/>
      <c r="R3" s="45"/>
      <c r="S3" s="45"/>
      <c r="T3" s="45"/>
    </row>
    <row r="4" spans="2:27" customFormat="1" ht="6.75" customHeight="1">
      <c r="B4" s="1"/>
      <c r="C4" s="1"/>
      <c r="D4" s="1"/>
      <c r="E4" s="1"/>
      <c r="F4" s="1"/>
      <c r="G4" s="1"/>
      <c r="H4" s="1"/>
      <c r="I4" s="1"/>
      <c r="J4" s="45"/>
      <c r="K4" s="45"/>
      <c r="L4" s="45"/>
      <c r="M4" s="45"/>
      <c r="N4" s="45"/>
      <c r="O4" s="45"/>
      <c r="P4" s="45"/>
      <c r="Q4" s="45"/>
      <c r="R4" s="45"/>
      <c r="S4" s="45"/>
      <c r="T4" s="45"/>
    </row>
    <row r="5" spans="2:27" customFormat="1" ht="3.75" customHeight="1">
      <c r="B5" s="1"/>
      <c r="C5" s="1"/>
      <c r="D5" s="1"/>
      <c r="E5" s="1"/>
      <c r="F5" s="1"/>
      <c r="G5" s="1"/>
      <c r="H5" s="1"/>
      <c r="I5" s="1"/>
      <c r="J5" s="1"/>
      <c r="K5" s="1"/>
      <c r="L5" s="1"/>
      <c r="M5" s="1"/>
      <c r="N5" s="1"/>
      <c r="O5" s="1"/>
      <c r="P5" s="1"/>
      <c r="Q5" s="1"/>
      <c r="R5" s="1"/>
      <c r="S5" s="1"/>
      <c r="T5" s="1"/>
    </row>
    <row r="6" spans="2:27" s="540" customFormat="1" ht="12.75">
      <c r="B6" s="542" t="s">
        <v>80</v>
      </c>
      <c r="C6" s="543"/>
      <c r="D6" s="528">
        <v>2012</v>
      </c>
      <c r="E6" s="528">
        <v>2013</v>
      </c>
      <c r="F6" s="528">
        <v>2014</v>
      </c>
      <c r="G6" s="528">
        <v>2015</v>
      </c>
      <c r="H6" s="528">
        <v>2016</v>
      </c>
      <c r="I6" s="528">
        <v>2017</v>
      </c>
      <c r="J6" s="528">
        <v>2018</v>
      </c>
      <c r="K6" s="528">
        <v>2019</v>
      </c>
      <c r="L6" s="528">
        <v>2020</v>
      </c>
      <c r="M6" s="528">
        <v>2021</v>
      </c>
      <c r="N6" s="528">
        <v>2022</v>
      </c>
      <c r="O6" s="528">
        <v>2023</v>
      </c>
      <c r="P6" s="528">
        <v>2024</v>
      </c>
      <c r="Q6" s="528">
        <v>2025</v>
      </c>
      <c r="R6" s="528">
        <v>2026</v>
      </c>
      <c r="S6" s="528">
        <v>2027</v>
      </c>
      <c r="T6" s="528">
        <v>2028</v>
      </c>
    </row>
    <row r="7" spans="2:27" customFormat="1" ht="12.75">
      <c r="B7" s="394"/>
      <c r="C7" s="14"/>
      <c r="D7" s="56" t="s">
        <v>3</v>
      </c>
      <c r="E7" s="56" t="s">
        <v>3</v>
      </c>
      <c r="F7" s="56" t="s">
        <v>3</v>
      </c>
      <c r="G7" s="56" t="s">
        <v>3</v>
      </c>
      <c r="H7" s="56" t="s">
        <v>3</v>
      </c>
      <c r="I7" s="56" t="s">
        <v>3</v>
      </c>
      <c r="J7" s="56" t="s">
        <v>3</v>
      </c>
      <c r="K7" s="56" t="s">
        <v>3</v>
      </c>
      <c r="L7" s="56" t="s">
        <v>3</v>
      </c>
      <c r="M7" s="56" t="s">
        <v>3</v>
      </c>
      <c r="N7" s="56" t="s">
        <v>4</v>
      </c>
      <c r="O7" s="56" t="s">
        <v>4</v>
      </c>
      <c r="P7" s="56" t="s">
        <v>4</v>
      </c>
      <c r="Q7" s="56" t="s">
        <v>4</v>
      </c>
      <c r="R7" s="56" t="s">
        <v>4</v>
      </c>
      <c r="S7" s="56" t="s">
        <v>4</v>
      </c>
      <c r="T7" s="56" t="s">
        <v>4</v>
      </c>
      <c r="U7" s="57"/>
      <c r="V7" s="57"/>
      <c r="W7" s="57"/>
      <c r="X7" s="57"/>
      <c r="Y7" s="57"/>
      <c r="Z7" s="3"/>
      <c r="AA7" s="3"/>
    </row>
    <row r="8" spans="2:27" customFormat="1" ht="6.75" customHeight="1">
      <c r="C8" s="13"/>
      <c r="D8" s="3"/>
      <c r="E8" s="3"/>
      <c r="F8" s="3"/>
      <c r="G8" s="3"/>
      <c r="H8" s="3"/>
      <c r="I8" s="3"/>
      <c r="J8" s="3"/>
      <c r="K8" s="3"/>
      <c r="L8" s="3"/>
      <c r="M8" s="3"/>
      <c r="N8" s="3"/>
      <c r="O8" s="3"/>
      <c r="P8" s="3"/>
      <c r="Q8" s="3"/>
      <c r="R8" s="3"/>
      <c r="S8" s="3"/>
      <c r="T8" s="3"/>
    </row>
    <row r="9" spans="2:27" customFormat="1" ht="12.75">
      <c r="B9" s="166" t="s">
        <v>146</v>
      </c>
      <c r="C9" s="4"/>
      <c r="D9" s="351">
        <v>101879</v>
      </c>
      <c r="E9" s="351">
        <v>85334</v>
      </c>
      <c r="F9" s="351">
        <v>143759</v>
      </c>
      <c r="G9" s="351">
        <v>228024</v>
      </c>
      <c r="H9" s="351">
        <v>185538</v>
      </c>
      <c r="I9" s="351">
        <f>351858-98651.633</f>
        <v>253206.367</v>
      </c>
      <c r="J9" s="408">
        <v>131546</v>
      </c>
      <c r="K9" s="408">
        <v>178405</v>
      </c>
      <c r="L9" s="408">
        <v>207283</v>
      </c>
      <c r="M9" s="408">
        <v>222833.49017</v>
      </c>
      <c r="N9" s="142">
        <f>(IS!M29-IS!M28)*WC!N35/360</f>
        <v>0</v>
      </c>
      <c r="O9" s="142" t="e">
        <f>(IS!N29-IS!N28)*WC!O35/360</f>
        <v>#DIV/0!</v>
      </c>
      <c r="P9" s="142" t="e">
        <f>(IS!O29-IS!O28)*WC!P35/360</f>
        <v>#DIV/0!</v>
      </c>
      <c r="Q9" s="142" t="e">
        <f>(IS!P29-IS!P28)*WC!Q35/360</f>
        <v>#DIV/0!</v>
      </c>
      <c r="R9" s="142" t="e">
        <f>(IS!Q29-IS!Q28)*WC!R35/360</f>
        <v>#DIV/0!</v>
      </c>
      <c r="S9" s="142" t="e">
        <f>(IS!R29-IS!R28)*WC!S35/360</f>
        <v>#DIV/0!</v>
      </c>
      <c r="T9" s="142" t="e">
        <f>(IS!S29-IS!S28)*WC!T35/360</f>
        <v>#DIV/0!</v>
      </c>
      <c r="U9" s="3"/>
      <c r="V9" s="3"/>
      <c r="W9" s="3"/>
      <c r="X9" s="3"/>
      <c r="Y9" s="3"/>
      <c r="Z9" s="3"/>
      <c r="AA9" s="3"/>
    </row>
    <row r="10" spans="2:27">
      <c r="B10" s="166" t="s">
        <v>147</v>
      </c>
      <c r="D10" s="352">
        <v>-6912</v>
      </c>
      <c r="E10" s="351">
        <v>-5278</v>
      </c>
      <c r="F10" s="351">
        <v>-8936</v>
      </c>
      <c r="G10" s="351">
        <v>-26639</v>
      </c>
      <c r="H10" s="351">
        <v>-99963</v>
      </c>
      <c r="I10" s="351">
        <v>-47140</v>
      </c>
      <c r="J10" s="408">
        <v>8520</v>
      </c>
      <c r="K10" s="408">
        <v>32684</v>
      </c>
      <c r="L10" s="408">
        <f>63393571.84/1000</f>
        <v>63393.571840000004</v>
      </c>
      <c r="M10" s="408">
        <v>63277.670819999999</v>
      </c>
      <c r="N10" s="142">
        <f>(IS!M29-IS!M28)*WC!N36/360</f>
        <v>0</v>
      </c>
      <c r="O10" s="142" t="e">
        <f>(IS!N29-IS!N28)*WC!O36/360</f>
        <v>#DIV/0!</v>
      </c>
      <c r="P10" s="142" t="e">
        <f>(IS!O29-IS!O28)*WC!P36/360</f>
        <v>#DIV/0!</v>
      </c>
      <c r="Q10" s="142" t="e">
        <f>(IS!P29-IS!P28)*WC!Q36/360</f>
        <v>#DIV/0!</v>
      </c>
      <c r="R10" s="142" t="e">
        <f>(IS!Q29-IS!Q28)*WC!R36/360</f>
        <v>#DIV/0!</v>
      </c>
      <c r="S10" s="142" t="e">
        <f>(IS!R29-IS!R28)*WC!S36/360</f>
        <v>#DIV/0!</v>
      </c>
      <c r="T10" s="142" t="e">
        <f>(IS!S29-IS!S28)*WC!T36/360</f>
        <v>#DIV/0!</v>
      </c>
    </row>
    <row r="11" spans="2:27">
      <c r="B11" s="166" t="s">
        <v>148</v>
      </c>
      <c r="D11" s="352">
        <v>407819</v>
      </c>
      <c r="E11" s="351">
        <v>514819</v>
      </c>
      <c r="F11" s="351">
        <v>622101</v>
      </c>
      <c r="G11" s="351">
        <v>782192</v>
      </c>
      <c r="H11" s="351">
        <v>486425</v>
      </c>
      <c r="I11" s="351">
        <v>569524</v>
      </c>
      <c r="J11" s="408">
        <v>868522</v>
      </c>
      <c r="K11" s="408">
        <v>1071354</v>
      </c>
      <c r="L11" s="408">
        <v>1301082</v>
      </c>
      <c r="M11" s="408">
        <f>2929844104.08/1000</f>
        <v>2929844.10408</v>
      </c>
      <c r="N11" s="142" t="e">
        <f>((IS!N39-IS!N37)*-1)*WC!N37/360</f>
        <v>#DIV/0!</v>
      </c>
      <c r="O11" s="142" t="e">
        <f>((IS!O39-IS!O37)*-1)*WC!O37/360</f>
        <v>#DIV/0!</v>
      </c>
      <c r="P11" s="142" t="e">
        <f>((IS!P39-IS!P37)*-1)*WC!P37/360</f>
        <v>#DIV/0!</v>
      </c>
      <c r="Q11" s="142" t="e">
        <f>((IS!Q39-IS!Q37)*-1)*WC!Q37/360</f>
        <v>#DIV/0!</v>
      </c>
      <c r="R11" s="142" t="e">
        <f>((IS!R39-IS!R37)*-1)*WC!R37/360</f>
        <v>#DIV/0!</v>
      </c>
      <c r="S11" s="142" t="e">
        <f>((IS!S39-IS!S37)*-1)*WC!S37/360</f>
        <v>#DIV/0!</v>
      </c>
      <c r="T11" s="142" t="e">
        <f>S11</f>
        <v>#DIV/0!</v>
      </c>
    </row>
    <row r="12" spans="2:27">
      <c r="B12" s="166" t="s">
        <v>149</v>
      </c>
      <c r="D12" s="352">
        <v>-9950</v>
      </c>
      <c r="E12" s="351">
        <v>-42280</v>
      </c>
      <c r="F12" s="351">
        <v>-20185</v>
      </c>
      <c r="G12" s="351">
        <v>-58164</v>
      </c>
      <c r="H12" s="351">
        <v>-12093</v>
      </c>
      <c r="I12" s="351">
        <v>-76735</v>
      </c>
      <c r="J12" s="408">
        <f>-136829194.85/1000</f>
        <v>-136829.19485</v>
      </c>
      <c r="K12" s="408">
        <v>-151302</v>
      </c>
      <c r="L12" s="408">
        <f>-119797117.51/1000</f>
        <v>-119797.11751000001</v>
      </c>
      <c r="M12" s="408">
        <f>-442304658.24/1000</f>
        <v>-442304.65824000002</v>
      </c>
      <c r="N12" s="142" t="e">
        <f>((IS!N39-IS!N37)*-1)*WC!N38/360</f>
        <v>#DIV/0!</v>
      </c>
      <c r="O12" s="142" t="e">
        <f>((IS!O39-IS!O37)*-1)*WC!O38/360</f>
        <v>#DIV/0!</v>
      </c>
      <c r="P12" s="142" t="e">
        <f>((IS!P39-IS!P37)*-1)*WC!P38/360</f>
        <v>#DIV/0!</v>
      </c>
      <c r="Q12" s="142" t="e">
        <f>((IS!Q39-IS!Q37)*-1)*WC!Q38/360</f>
        <v>#DIV/0!</v>
      </c>
      <c r="R12" s="142" t="e">
        <f>((IS!R39-IS!R37)*-1)*WC!R38/360</f>
        <v>#DIV/0!</v>
      </c>
      <c r="S12" s="142" t="e">
        <f>((IS!S39-IS!S37)*-1)*WC!S38/360</f>
        <v>#DIV/0!</v>
      </c>
      <c r="T12" s="142" t="e">
        <f>S12</f>
        <v>#DIV/0!</v>
      </c>
    </row>
    <row r="13" spans="2:27">
      <c r="B13" s="166" t="s">
        <v>150</v>
      </c>
      <c r="D13" s="352">
        <v>77159</v>
      </c>
      <c r="E13" s="351">
        <v>78361</v>
      </c>
      <c r="F13" s="351">
        <v>98566</v>
      </c>
      <c r="G13" s="351">
        <v>89321</v>
      </c>
      <c r="H13" s="351">
        <v>66727</v>
      </c>
      <c r="I13" s="351">
        <v>45908</v>
      </c>
      <c r="J13" s="408">
        <f>86943037.55/1000</f>
        <v>86943.037549999994</v>
      </c>
      <c r="K13" s="408">
        <v>164412</v>
      </c>
      <c r="L13" s="408">
        <f>150650050.63/1000</f>
        <v>150650.05062999998</v>
      </c>
      <c r="M13" s="408">
        <f>126935590.93/1000</f>
        <v>126935.59093000001</v>
      </c>
      <c r="N13" s="142">
        <f>(IS!M29-IS!M28)*WC!N39/360</f>
        <v>0</v>
      </c>
      <c r="O13" s="142" t="e">
        <f>(IS!N29-IS!N28)*WC!O39/360</f>
        <v>#DIV/0!</v>
      </c>
      <c r="P13" s="142" t="e">
        <f>(IS!O29-IS!O28)*WC!P39/360</f>
        <v>#DIV/0!</v>
      </c>
      <c r="Q13" s="142" t="e">
        <f>(IS!P29-IS!P28)*WC!Q39/360</f>
        <v>#DIV/0!</v>
      </c>
      <c r="R13" s="142" t="e">
        <f>(IS!Q29-IS!Q28)*WC!R39/360</f>
        <v>#DIV/0!</v>
      </c>
      <c r="S13" s="142" t="e">
        <f>(IS!R29-IS!R28)*WC!S39/360</f>
        <v>#DIV/0!</v>
      </c>
      <c r="T13" s="142" t="e">
        <f>(IS!S29-IS!S28)*WC!T39/360</f>
        <v>#DIV/0!</v>
      </c>
    </row>
    <row r="14" spans="2:27">
      <c r="B14" s="166" t="s">
        <v>151</v>
      </c>
      <c r="D14" s="352">
        <v>303404</v>
      </c>
      <c r="E14" s="351">
        <v>378481</v>
      </c>
      <c r="F14" s="351">
        <v>374372</v>
      </c>
      <c r="G14" s="351">
        <v>423705</v>
      </c>
      <c r="H14" s="351">
        <v>521174</v>
      </c>
      <c r="I14" s="351">
        <v>522997</v>
      </c>
      <c r="J14" s="408">
        <f>705390125.82/1000</f>
        <v>705390.12582000007</v>
      </c>
      <c r="K14" s="408">
        <v>779885</v>
      </c>
      <c r="L14" s="408">
        <f>891352379.28/1000</f>
        <v>891352.37927999999</v>
      </c>
      <c r="M14" s="408">
        <f>1567487848.22/1000</f>
        <v>1567487.84822</v>
      </c>
      <c r="N14" s="142" t="e">
        <f>((IS!N39-IS!N37)*-1)*WC!N40/360</f>
        <v>#DIV/0!</v>
      </c>
      <c r="O14" s="142" t="e">
        <f>((IS!O39-IS!O37)*-1)*WC!O40/360</f>
        <v>#DIV/0!</v>
      </c>
      <c r="P14" s="142" t="e">
        <f>((IS!P39-IS!P37)*-1)*WC!P40/360</f>
        <v>#DIV/0!</v>
      </c>
      <c r="Q14" s="142" t="e">
        <f>((IS!Q39-IS!Q37)*-1)*WC!Q40/360</f>
        <v>#DIV/0!</v>
      </c>
      <c r="R14" s="142" t="e">
        <f>((IS!R39-IS!R37)*-1)*WC!R40/360</f>
        <v>#DIV/0!</v>
      </c>
      <c r="S14" s="142" t="e">
        <f>((IS!S39-IS!S37)*-1)*WC!S40/360</f>
        <v>#DIV/0!</v>
      </c>
      <c r="T14" s="142" t="e">
        <f>S14</f>
        <v>#DIV/0!</v>
      </c>
    </row>
    <row r="15" spans="2:27">
      <c r="B15" s="166" t="s">
        <v>152</v>
      </c>
      <c r="D15" s="352">
        <v>-24975</v>
      </c>
      <c r="E15" s="351">
        <v>-27009</v>
      </c>
      <c r="F15" s="351">
        <v>-17684</v>
      </c>
      <c r="G15" s="351">
        <v>-31200</v>
      </c>
      <c r="H15" s="351">
        <v>-50693</v>
      </c>
      <c r="I15" s="351">
        <v>-21094</v>
      </c>
      <c r="J15" s="408">
        <v>-65977</v>
      </c>
      <c r="K15" s="408">
        <v>-86282</v>
      </c>
      <c r="L15" s="408">
        <f>88067755.53/1000</f>
        <v>88067.755529999995</v>
      </c>
      <c r="M15" s="408">
        <f>-391931317.06/1000</f>
        <v>-391931.31706000003</v>
      </c>
      <c r="N15" s="142" t="e">
        <f>((IS!N39-IS!N37)*-1)*WC!N41/360</f>
        <v>#DIV/0!</v>
      </c>
      <c r="O15" s="142" t="e">
        <f>((IS!O39-IS!O37)*-1)*WC!O41/360</f>
        <v>#DIV/0!</v>
      </c>
      <c r="P15" s="142" t="e">
        <f>((IS!P39-IS!P37)*-1)*WC!P41/360</f>
        <v>#DIV/0!</v>
      </c>
      <c r="Q15" s="142" t="e">
        <f>((IS!Q39-IS!Q37)*-1)*WC!Q41/360</f>
        <v>#DIV/0!</v>
      </c>
      <c r="R15" s="142" t="e">
        <f>((IS!R39-IS!R37)*-1)*WC!R41/360</f>
        <v>#DIV/0!</v>
      </c>
      <c r="S15" s="142" t="e">
        <f>((IS!S39-IS!S37)*-1)*WC!S41/360</f>
        <v>#DIV/0!</v>
      </c>
      <c r="T15" s="142" t="e">
        <f>S15</f>
        <v>#DIV/0!</v>
      </c>
    </row>
    <row r="16" spans="2:27">
      <c r="B16" s="166" t="s">
        <v>153</v>
      </c>
      <c r="D16" s="352">
        <v>10405</v>
      </c>
      <c r="E16" s="351">
        <v>3793</v>
      </c>
      <c r="F16" s="351">
        <v>2712</v>
      </c>
      <c r="G16" s="351">
        <v>5469</v>
      </c>
      <c r="H16" s="351">
        <v>7721</v>
      </c>
      <c r="I16" s="351">
        <v>8354</v>
      </c>
      <c r="J16" s="408">
        <f>5060231.54/1000</f>
        <v>5060.2315399999998</v>
      </c>
      <c r="K16" s="408">
        <v>79146</v>
      </c>
      <c r="L16" s="408">
        <f>58150851.59/1000</f>
        <v>58150.851590000006</v>
      </c>
      <c r="M16" s="408">
        <f>14275240.63/1000</f>
        <v>14275.24063</v>
      </c>
      <c r="N16" s="142">
        <f>(IS!M29-IS!M28)*WC!N42/360</f>
        <v>0</v>
      </c>
      <c r="O16" s="142" t="e">
        <f>(IS!N29-IS!N28)*WC!O42/360</f>
        <v>#DIV/0!</v>
      </c>
      <c r="P16" s="142" t="e">
        <f>(IS!O29-IS!O28)*WC!P42/360</f>
        <v>#DIV/0!</v>
      </c>
      <c r="Q16" s="142" t="e">
        <f>(IS!P29-IS!P28)*WC!Q42/360</f>
        <v>#DIV/0!</v>
      </c>
      <c r="R16" s="142" t="e">
        <f>(IS!Q29-IS!Q28)*WC!R42/360</f>
        <v>#DIV/0!</v>
      </c>
      <c r="S16" s="142" t="e">
        <f>(IS!R29-IS!R28)*WC!S42/360</f>
        <v>#DIV/0!</v>
      </c>
      <c r="T16" s="142" t="e">
        <f>(IS!S29-IS!S28)*WC!T42/360</f>
        <v>#DIV/0!</v>
      </c>
    </row>
    <row r="17" spans="2:20" ht="6.75" customHeight="1">
      <c r="B17" s="283"/>
      <c r="C17" s="27"/>
      <c r="D17" s="135"/>
      <c r="E17" s="135"/>
      <c r="F17" s="135"/>
      <c r="G17" s="135"/>
      <c r="H17" s="135"/>
      <c r="I17" s="135"/>
      <c r="J17" s="135"/>
      <c r="K17" s="135"/>
      <c r="L17" s="135"/>
      <c r="M17" s="135"/>
      <c r="N17" s="135"/>
      <c r="O17" s="135"/>
      <c r="P17" s="135"/>
      <c r="Q17" s="135"/>
      <c r="R17" s="135"/>
      <c r="S17" s="135"/>
      <c r="T17" s="135"/>
    </row>
    <row r="18" spans="2:20">
      <c r="B18" s="206" t="s">
        <v>226</v>
      </c>
      <c r="D18" s="40">
        <f t="shared" ref="D18:O18" si="0">SUM(D9:D16)</f>
        <v>858829</v>
      </c>
      <c r="E18" s="40">
        <f t="shared" si="0"/>
        <v>986221</v>
      </c>
      <c r="F18" s="40">
        <f t="shared" si="0"/>
        <v>1194705</v>
      </c>
      <c r="G18" s="40">
        <f t="shared" si="0"/>
        <v>1412708</v>
      </c>
      <c r="H18" s="40">
        <f t="shared" si="0"/>
        <v>1104836</v>
      </c>
      <c r="I18" s="40">
        <f t="shared" si="0"/>
        <v>1255020.3670000001</v>
      </c>
      <c r="J18" s="40">
        <f t="shared" si="0"/>
        <v>1603175.2000600002</v>
      </c>
      <c r="K18" s="40">
        <f t="shared" si="0"/>
        <v>2068302</v>
      </c>
      <c r="L18" s="40">
        <f t="shared" si="0"/>
        <v>2640182.4913599999</v>
      </c>
      <c r="M18" s="40">
        <f t="shared" ref="M18" si="1">SUM(M9:M16)</f>
        <v>4090417.9695499996</v>
      </c>
      <c r="N18" s="40" t="e">
        <f t="shared" si="0"/>
        <v>#DIV/0!</v>
      </c>
      <c r="O18" s="40" t="e">
        <f t="shared" si="0"/>
        <v>#DIV/0!</v>
      </c>
      <c r="P18" s="40" t="e">
        <f>SUM(P9:P16)</f>
        <v>#DIV/0!</v>
      </c>
      <c r="Q18" s="40" t="e">
        <f>SUM(Q9:Q16)</f>
        <v>#DIV/0!</v>
      </c>
      <c r="R18" s="40" t="e">
        <f>SUM(R9:R16)</f>
        <v>#DIV/0!</v>
      </c>
      <c r="S18" s="40" t="e">
        <f>SUM(S9:S16)</f>
        <v>#DIV/0!</v>
      </c>
      <c r="T18" s="40" t="e">
        <f>SUM(T9:T16)</f>
        <v>#DIV/0!</v>
      </c>
    </row>
    <row r="19" spans="2:20" ht="6.75" customHeight="1">
      <c r="B19" s="206"/>
      <c r="D19" s="134"/>
      <c r="E19" s="134"/>
      <c r="F19" s="134"/>
      <c r="G19" s="134"/>
      <c r="H19" s="134"/>
      <c r="I19" s="134"/>
      <c r="J19" s="134"/>
      <c r="K19" s="134"/>
      <c r="L19" s="134"/>
      <c r="M19" s="134"/>
      <c r="N19" s="134"/>
      <c r="O19" s="134"/>
      <c r="P19" s="134"/>
      <c r="Q19" s="134"/>
      <c r="R19" s="134"/>
      <c r="S19" s="134"/>
      <c r="T19" s="134"/>
    </row>
    <row r="20" spans="2:20">
      <c r="B20" s="166" t="s">
        <v>154</v>
      </c>
      <c r="D20" s="352">
        <v>137758</v>
      </c>
      <c r="E20" s="352">
        <v>236217</v>
      </c>
      <c r="F20" s="352">
        <v>312759</v>
      </c>
      <c r="G20" s="352">
        <v>398860</v>
      </c>
      <c r="H20" s="352">
        <v>439735</v>
      </c>
      <c r="I20" s="352">
        <v>424041</v>
      </c>
      <c r="J20" s="533">
        <f>703563914.93/1000</f>
        <v>703563.91492999997</v>
      </c>
      <c r="K20" s="533">
        <v>921999</v>
      </c>
      <c r="L20" s="533">
        <f>1052591253.54/1000</f>
        <v>1052591.2535399999</v>
      </c>
      <c r="M20" s="533">
        <v>1012901.0420499999</v>
      </c>
      <c r="N20" s="144">
        <f>((IS!M39-IS!M37)*-1)*WC!N43/360</f>
        <v>0</v>
      </c>
      <c r="O20" s="144" t="e">
        <f>((IS!N39-IS!N37)*-1)*WC!O43/360</f>
        <v>#DIV/0!</v>
      </c>
      <c r="P20" s="144" t="e">
        <f>((IS!O39-IS!O37)*-1)*WC!P43/360</f>
        <v>#DIV/0!</v>
      </c>
      <c r="Q20" s="144" t="e">
        <f>((IS!P39-IS!P37)*-1)*WC!Q43/360</f>
        <v>#DIV/0!</v>
      </c>
      <c r="R20" s="144" t="e">
        <f>((IS!Q39-IS!Q37)*-1)*WC!R43/360</f>
        <v>#DIV/0!</v>
      </c>
      <c r="S20" s="144" t="e">
        <f>((IS!R39-IS!R37)*-1)*WC!S43/360</f>
        <v>#DIV/0!</v>
      </c>
      <c r="T20" s="144" t="e">
        <f>((IS!S39-IS!S37)*-1)*WC!T43/360</f>
        <v>#DIV/0!</v>
      </c>
    </row>
    <row r="21" spans="2:20">
      <c r="B21" s="166" t="s">
        <v>155</v>
      </c>
      <c r="D21" s="352">
        <v>21024</v>
      </c>
      <c r="E21" s="352">
        <v>27480</v>
      </c>
      <c r="F21" s="352">
        <v>24270</v>
      </c>
      <c r="G21" s="352">
        <v>20465</v>
      </c>
      <c r="H21" s="352">
        <v>23303</v>
      </c>
      <c r="I21" s="352">
        <v>51729</v>
      </c>
      <c r="J21" s="533">
        <f>24656+63007</f>
        <v>87663</v>
      </c>
      <c r="K21" s="533">
        <v>112082</v>
      </c>
      <c r="L21" s="533">
        <f>70342270.34/1000</f>
        <v>70342.270340000003</v>
      </c>
      <c r="M21" s="533">
        <v>42662.095150000001</v>
      </c>
      <c r="N21" s="144">
        <f>((IS!M39-IS!M37)*-1)*WC!N44/360</f>
        <v>0</v>
      </c>
      <c r="O21" s="144" t="e">
        <f>((IS!N39-IS!N37)*-1)*WC!O44/360</f>
        <v>#DIV/0!</v>
      </c>
      <c r="P21" s="144" t="e">
        <f>((IS!O39-IS!O37)*-1)*WC!P44/360</f>
        <v>#DIV/0!</v>
      </c>
      <c r="Q21" s="144" t="e">
        <f>((IS!P39-IS!P37)*-1)*WC!Q44/360</f>
        <v>#DIV/0!</v>
      </c>
      <c r="R21" s="144" t="e">
        <f>((IS!Q39-IS!Q37)*-1)*WC!R44/360</f>
        <v>#DIV/0!</v>
      </c>
      <c r="S21" s="144" t="e">
        <f>((IS!R39-IS!R37)*-1)*WC!S44/360</f>
        <v>#DIV/0!</v>
      </c>
      <c r="T21" s="144" t="e">
        <f>((IS!S39-IS!S37)*-1)*WC!T44/360</f>
        <v>#DIV/0!</v>
      </c>
    </row>
    <row r="22" spans="2:20" ht="11.25" customHeight="1">
      <c r="B22" s="166" t="s">
        <v>156</v>
      </c>
      <c r="C22" s="35"/>
      <c r="D22" s="352">
        <v>176773</v>
      </c>
      <c r="E22" s="352">
        <v>223444</v>
      </c>
      <c r="F22" s="352">
        <v>207794</v>
      </c>
      <c r="G22" s="352">
        <v>376498</v>
      </c>
      <c r="H22" s="352">
        <v>204675</v>
      </c>
      <c r="I22" s="352">
        <v>283654</v>
      </c>
      <c r="J22" s="533">
        <v>100905</v>
      </c>
      <c r="K22" s="533">
        <v>60873</v>
      </c>
      <c r="L22" s="533">
        <f>417120611.96/1000</f>
        <v>417120.61195999995</v>
      </c>
      <c r="M22" s="533">
        <f>1836605.73087-M23</f>
        <v>1742831.38714</v>
      </c>
      <c r="N22" s="144">
        <f>((IS!M39-IS!M37)*-1)*WC!N45/360</f>
        <v>0</v>
      </c>
      <c r="O22" s="144" t="e">
        <f>((IS!N39-IS!N37)*-1)*WC!O45/360</f>
        <v>#DIV/0!</v>
      </c>
      <c r="P22" s="144" t="e">
        <f>((IS!O39-IS!O37)*-1)*WC!P45/360</f>
        <v>#DIV/0!</v>
      </c>
      <c r="Q22" s="144" t="e">
        <f>((IS!P39-IS!P37)*-1)*WC!Q45/360</f>
        <v>#DIV/0!</v>
      </c>
      <c r="R22" s="144" t="e">
        <f>((IS!Q39-IS!Q37)*-1)*WC!R45/360</f>
        <v>#DIV/0!</v>
      </c>
      <c r="S22" s="144" t="e">
        <f>((IS!R39-IS!R37)*-1)*WC!S45/360</f>
        <v>#DIV/0!</v>
      </c>
      <c r="T22" s="144" t="e">
        <f>((IS!S39-IS!S37)*-1)*WC!T45/360</f>
        <v>#DIV/0!</v>
      </c>
    </row>
    <row r="23" spans="2:20" ht="11.25" customHeight="1">
      <c r="B23" s="166" t="s">
        <v>157</v>
      </c>
      <c r="C23" s="35"/>
      <c r="D23" s="352">
        <v>-95283</v>
      </c>
      <c r="E23" s="352">
        <v>-126494</v>
      </c>
      <c r="F23" s="352">
        <v>-49689</v>
      </c>
      <c r="G23" s="352">
        <v>-75564</v>
      </c>
      <c r="H23" s="352">
        <v>-81813</v>
      </c>
      <c r="I23" s="352">
        <v>-17543</v>
      </c>
      <c r="J23" s="533">
        <v>0</v>
      </c>
      <c r="K23" s="533">
        <v>0</v>
      </c>
      <c r="L23" s="533"/>
      <c r="M23" s="533">
        <v>93774.343730000008</v>
      </c>
      <c r="N23" s="144">
        <f>((IS!M39-IS!M37)*-1)*WC!N46/360</f>
        <v>0</v>
      </c>
      <c r="O23" s="144" t="e">
        <f>((IS!N39-IS!N37)*-1)*WC!O46/360</f>
        <v>#DIV/0!</v>
      </c>
      <c r="P23" s="144" t="e">
        <f>((IS!O39-IS!O37)*-1)*WC!P46/360</f>
        <v>#DIV/0!</v>
      </c>
      <c r="Q23" s="144" t="e">
        <f>((IS!P39-IS!P37)*-1)*WC!Q46/360</f>
        <v>#DIV/0!</v>
      </c>
      <c r="R23" s="144" t="e">
        <f>((IS!Q39-IS!Q37)*-1)*WC!R46/360</f>
        <v>#DIV/0!</v>
      </c>
      <c r="S23" s="144" t="e">
        <f>((IS!R39-IS!R37)*-1)*WC!S46/360</f>
        <v>#DIV/0!</v>
      </c>
      <c r="T23" s="144" t="e">
        <f>((IS!S39-IS!S37)*-1)*WC!T46/360</f>
        <v>#DIV/0!</v>
      </c>
    </row>
    <row r="24" spans="2:20" ht="11.25" customHeight="1">
      <c r="B24" s="166" t="s">
        <v>147</v>
      </c>
      <c r="C24" s="35"/>
      <c r="D24" s="352">
        <v>-20058</v>
      </c>
      <c r="E24" s="352">
        <v>-31433</v>
      </c>
      <c r="F24" s="352">
        <v>-51651</v>
      </c>
      <c r="G24" s="352">
        <v>-120544</v>
      </c>
      <c r="H24" s="352">
        <v>-56604</v>
      </c>
      <c r="I24" s="352">
        <v>-42583</v>
      </c>
      <c r="J24" s="533">
        <v>0</v>
      </c>
      <c r="K24" s="533">
        <v>0</v>
      </c>
      <c r="L24" s="533"/>
      <c r="M24" s="533">
        <v>0</v>
      </c>
      <c r="N24" s="144">
        <f>((IS!M39-IS!M37)*-1)*WC!N47/360</f>
        <v>0</v>
      </c>
      <c r="O24" s="144" t="e">
        <f>((IS!N39-IS!N37)*-1)*WC!O47/360</f>
        <v>#DIV/0!</v>
      </c>
      <c r="P24" s="144" t="e">
        <f>((IS!O39-IS!O37)*-1)*WC!P47/360</f>
        <v>#DIV/0!</v>
      </c>
      <c r="Q24" s="144" t="e">
        <f>((IS!P39-IS!P37)*-1)*WC!Q47/360</f>
        <v>#DIV/0!</v>
      </c>
      <c r="R24" s="144" t="e">
        <f>((IS!Q39-IS!Q37)*-1)*WC!R47/360</f>
        <v>#DIV/0!</v>
      </c>
      <c r="S24" s="144" t="e">
        <f>((IS!R39-IS!R37)*-1)*WC!S47/360</f>
        <v>#DIV/0!</v>
      </c>
      <c r="T24" s="144" t="e">
        <f>((IS!S39-IS!S37)*-1)*WC!T47/360</f>
        <v>#DIV/0!</v>
      </c>
    </row>
    <row r="25" spans="2:20">
      <c r="B25" s="156" t="s">
        <v>158</v>
      </c>
      <c r="C25" s="27"/>
      <c r="D25" s="353">
        <v>12249</v>
      </c>
      <c r="E25" s="353">
        <v>16187</v>
      </c>
      <c r="F25" s="353">
        <v>17724</v>
      </c>
      <c r="G25" s="353">
        <v>20415</v>
      </c>
      <c r="H25" s="353">
        <v>15022</v>
      </c>
      <c r="I25" s="353">
        <v>41832</v>
      </c>
      <c r="J25" s="534">
        <v>0</v>
      </c>
      <c r="K25" s="534">
        <v>60860</v>
      </c>
      <c r="L25" s="534">
        <f>86642764.43/1000</f>
        <v>86642.76443000001</v>
      </c>
      <c r="M25" s="534">
        <v>134247.31074000002</v>
      </c>
      <c r="N25" s="294">
        <f>((IS!M39-IS!M37)*-1)*WC!N48/360</f>
        <v>0</v>
      </c>
      <c r="O25" s="294" t="e">
        <f>((IS!N39-IS!N37)*-1)*WC!O48/360</f>
        <v>#DIV/0!</v>
      </c>
      <c r="P25" s="294" t="e">
        <f>((IS!O39-IS!O37)*-1)*WC!P48/360</f>
        <v>#DIV/0!</v>
      </c>
      <c r="Q25" s="294" t="e">
        <f>((IS!P39-IS!P37)*-1)*WC!Q48/360</f>
        <v>#DIV/0!</v>
      </c>
      <c r="R25" s="294" t="e">
        <f>((IS!Q39-IS!Q37)*-1)*WC!R48/360</f>
        <v>#DIV/0!</v>
      </c>
      <c r="S25" s="294" t="e">
        <f>((IS!R39-IS!R37)*-1)*WC!S48/360</f>
        <v>#DIV/0!</v>
      </c>
      <c r="T25" s="294" t="e">
        <f>((IS!S39-IS!S37)*-1)*WC!T48/360</f>
        <v>#DIV/0!</v>
      </c>
    </row>
    <row r="26" spans="2:20" ht="6.75" customHeight="1">
      <c r="B26" s="207"/>
      <c r="C26" s="37"/>
      <c r="D26" s="134"/>
      <c r="E26" s="134"/>
      <c r="F26" s="134"/>
      <c r="G26" s="134"/>
      <c r="H26" s="134"/>
      <c r="I26" s="134"/>
      <c r="J26" s="134"/>
      <c r="K26" s="134"/>
      <c r="L26" s="134"/>
      <c r="M26" s="134"/>
      <c r="N26" s="134"/>
      <c r="O26" s="134"/>
      <c r="P26" s="134"/>
      <c r="Q26" s="134"/>
      <c r="R26" s="134"/>
      <c r="S26" s="134"/>
      <c r="T26" s="134"/>
    </row>
    <row r="27" spans="2:20">
      <c r="B27" s="206" t="s">
        <v>227</v>
      </c>
      <c r="D27" s="40">
        <f t="shared" ref="D27:O27" si="2">SUM(D20:D25)</f>
        <v>232463</v>
      </c>
      <c r="E27" s="40">
        <f t="shared" si="2"/>
        <v>345401</v>
      </c>
      <c r="F27" s="40">
        <f t="shared" si="2"/>
        <v>461207</v>
      </c>
      <c r="G27" s="40">
        <f t="shared" si="2"/>
        <v>620130</v>
      </c>
      <c r="H27" s="40">
        <f t="shared" si="2"/>
        <v>544318</v>
      </c>
      <c r="I27" s="40">
        <f t="shared" si="2"/>
        <v>741130</v>
      </c>
      <c r="J27" s="40">
        <f t="shared" si="2"/>
        <v>892131.91492999997</v>
      </c>
      <c r="K27" s="40">
        <f t="shared" si="2"/>
        <v>1155814</v>
      </c>
      <c r="L27" s="40">
        <f t="shared" si="2"/>
        <v>1626696.9002699999</v>
      </c>
      <c r="M27" s="40">
        <f t="shared" si="2"/>
        <v>3026416.17881</v>
      </c>
      <c r="N27" s="40">
        <f t="shared" si="2"/>
        <v>0</v>
      </c>
      <c r="O27" s="40" t="e">
        <f t="shared" si="2"/>
        <v>#DIV/0!</v>
      </c>
      <c r="P27" s="40" t="e">
        <f>SUM(P20:P25)</f>
        <v>#DIV/0!</v>
      </c>
      <c r="Q27" s="40" t="e">
        <f>SUM(Q20:Q25)</f>
        <v>#DIV/0!</v>
      </c>
      <c r="R27" s="40" t="e">
        <f>SUM(R20:R25)</f>
        <v>#DIV/0!</v>
      </c>
      <c r="S27" s="40" t="e">
        <f>SUM(S20:S25)</f>
        <v>#DIV/0!</v>
      </c>
      <c r="T27" s="40" t="e">
        <f>SUM(T20:T25)</f>
        <v>#DIV/0!</v>
      </c>
    </row>
    <row r="28" spans="2:20" ht="6.75" customHeight="1">
      <c r="B28" s="208"/>
      <c r="D28" s="11"/>
      <c r="E28" s="11"/>
      <c r="F28" s="11"/>
      <c r="G28" s="11"/>
      <c r="H28" s="11"/>
      <c r="I28" s="11"/>
      <c r="J28" s="11"/>
      <c r="K28" s="11"/>
      <c r="L28" s="11"/>
      <c r="M28" s="11"/>
      <c r="N28" s="11"/>
      <c r="O28" s="11"/>
      <c r="P28" s="11"/>
      <c r="Q28" s="11"/>
      <c r="R28" s="11"/>
      <c r="S28" s="11"/>
      <c r="T28" s="11"/>
    </row>
    <row r="29" spans="2:20">
      <c r="B29" s="209" t="s">
        <v>228</v>
      </c>
      <c r="D29" s="11">
        <f t="shared" ref="D29:O29" si="3">D18-D27</f>
        <v>626366</v>
      </c>
      <c r="E29" s="11">
        <f t="shared" si="3"/>
        <v>640820</v>
      </c>
      <c r="F29" s="11">
        <f t="shared" si="3"/>
        <v>733498</v>
      </c>
      <c r="G29" s="11">
        <f t="shared" si="3"/>
        <v>792578</v>
      </c>
      <c r="H29" s="11">
        <f t="shared" si="3"/>
        <v>560518</v>
      </c>
      <c r="I29" s="11">
        <f t="shared" si="3"/>
        <v>513890.36700000009</v>
      </c>
      <c r="J29" s="11">
        <f t="shared" si="3"/>
        <v>711043.28513000021</v>
      </c>
      <c r="K29" s="11">
        <f t="shared" si="3"/>
        <v>912488</v>
      </c>
      <c r="L29" s="11">
        <f t="shared" si="3"/>
        <v>1013485.59109</v>
      </c>
      <c r="M29" s="11">
        <f t="shared" si="3"/>
        <v>1064001.7907399996</v>
      </c>
      <c r="N29" s="11" t="e">
        <f t="shared" si="3"/>
        <v>#DIV/0!</v>
      </c>
      <c r="O29" s="11" t="e">
        <f t="shared" si="3"/>
        <v>#DIV/0!</v>
      </c>
      <c r="P29" s="11" t="e">
        <f>P18-P27</f>
        <v>#DIV/0!</v>
      </c>
      <c r="Q29" s="11" t="e">
        <f>Q18-Q27</f>
        <v>#DIV/0!</v>
      </c>
      <c r="R29" s="11" t="e">
        <f>R18-R27</f>
        <v>#DIV/0!</v>
      </c>
      <c r="S29" s="11" t="e">
        <f>S18-S27</f>
        <v>#DIV/0!</v>
      </c>
      <c r="T29" s="11" t="e">
        <f>T18-T27</f>
        <v>#DIV/0!</v>
      </c>
    </row>
    <row r="30" spans="2:20" ht="6" customHeight="1">
      <c r="B30" s="210"/>
      <c r="D30" s="11"/>
      <c r="E30" s="11"/>
      <c r="F30" s="11"/>
      <c r="G30" s="11"/>
      <c r="H30" s="11"/>
      <c r="I30" s="11"/>
      <c r="J30" s="11"/>
      <c r="K30" s="11"/>
      <c r="L30" s="11"/>
      <c r="M30" s="11"/>
      <c r="N30" s="11"/>
      <c r="O30" s="11"/>
      <c r="P30" s="11"/>
      <c r="Q30" s="11"/>
      <c r="R30" s="11"/>
      <c r="S30" s="11"/>
      <c r="T30" s="11"/>
    </row>
    <row r="31" spans="2:20">
      <c r="B31" s="205" t="s">
        <v>229</v>
      </c>
      <c r="D31" s="40">
        <v>0</v>
      </c>
      <c r="E31" s="40">
        <f t="shared" ref="E31:K31" si="4">-E29+D29</f>
        <v>-14454</v>
      </c>
      <c r="F31" s="40">
        <f t="shared" si="4"/>
        <v>-92678</v>
      </c>
      <c r="G31" s="40">
        <f t="shared" si="4"/>
        <v>-59080</v>
      </c>
      <c r="H31" s="40">
        <f t="shared" si="4"/>
        <v>232060</v>
      </c>
      <c r="I31" s="40">
        <f t="shared" si="4"/>
        <v>46627.632999999914</v>
      </c>
      <c r="J31" s="40">
        <f t="shared" si="4"/>
        <v>-197152.91813000012</v>
      </c>
      <c r="K31" s="40">
        <f t="shared" si="4"/>
        <v>-201444.71486999979</v>
      </c>
      <c r="L31" s="40">
        <f t="shared" ref="L31" si="5">-L29+K29</f>
        <v>-100997.59109</v>
      </c>
      <c r="M31" s="40">
        <f t="shared" ref="M31:T31" si="6">-M29+L29</f>
        <v>-50516.199649999617</v>
      </c>
      <c r="N31" s="40" t="e">
        <f t="shared" si="6"/>
        <v>#DIV/0!</v>
      </c>
      <c r="O31" s="40" t="e">
        <f t="shared" si="6"/>
        <v>#DIV/0!</v>
      </c>
      <c r="P31" s="40" t="e">
        <f t="shared" si="6"/>
        <v>#DIV/0!</v>
      </c>
      <c r="Q31" s="40" t="e">
        <f t="shared" si="6"/>
        <v>#DIV/0!</v>
      </c>
      <c r="R31" s="40" t="e">
        <f t="shared" si="6"/>
        <v>#DIV/0!</v>
      </c>
      <c r="S31" s="40" t="e">
        <f t="shared" si="6"/>
        <v>#DIV/0!</v>
      </c>
      <c r="T31" s="40" t="e">
        <f t="shared" si="6"/>
        <v>#DIV/0!</v>
      </c>
    </row>
    <row r="32" spans="2:20" ht="6.75" customHeight="1">
      <c r="B32" s="208"/>
      <c r="C32" s="58"/>
      <c r="D32" s="40"/>
      <c r="E32" s="40"/>
      <c r="F32" s="40"/>
      <c r="G32" s="40"/>
      <c r="H32" s="40"/>
      <c r="I32" s="40"/>
      <c r="J32" s="40"/>
      <c r="K32" s="40"/>
      <c r="L32" s="40"/>
      <c r="M32" s="40"/>
      <c r="N32" s="40"/>
      <c r="O32" s="40"/>
      <c r="P32" s="40"/>
      <c r="Q32" s="40"/>
      <c r="R32" s="40"/>
      <c r="S32" s="40"/>
      <c r="T32" s="40"/>
    </row>
    <row r="33" spans="2:21">
      <c r="B33" s="211" t="s">
        <v>230</v>
      </c>
      <c r="D33" s="11"/>
      <c r="E33" s="11"/>
      <c r="F33" s="11"/>
      <c r="G33" s="11"/>
      <c r="H33" s="11"/>
      <c r="I33" s="11"/>
      <c r="J33" s="11"/>
      <c r="K33" s="11"/>
      <c r="L33" s="11"/>
      <c r="M33" s="11"/>
      <c r="N33" s="11"/>
      <c r="O33" s="11"/>
      <c r="P33" s="11"/>
      <c r="Q33" s="11"/>
      <c r="R33" s="11"/>
      <c r="S33" s="11"/>
      <c r="T33" s="11"/>
    </row>
    <row r="34" spans="2:21" ht="6.75" customHeight="1">
      <c r="B34" s="211"/>
      <c r="C34" s="35"/>
      <c r="D34" s="11"/>
      <c r="E34" s="11"/>
      <c r="F34" s="11"/>
      <c r="G34" s="11"/>
      <c r="H34" s="11"/>
      <c r="I34" s="11"/>
      <c r="J34" s="11"/>
      <c r="K34" s="11"/>
      <c r="L34" s="11"/>
      <c r="M34" s="11"/>
      <c r="N34" s="11"/>
      <c r="O34" s="11"/>
      <c r="P34" s="11"/>
      <c r="Q34" s="11"/>
      <c r="R34" s="11"/>
      <c r="S34" s="11"/>
      <c r="T34" s="11"/>
    </row>
    <row r="35" spans="2:21">
      <c r="B35" s="166" t="s">
        <v>231</v>
      </c>
      <c r="D35" s="11"/>
      <c r="E35" s="533">
        <f>E9/(IS!D$29-IS!D$28)*360</f>
        <v>28.213500319936312</v>
      </c>
      <c r="F35" s="533">
        <f>F9/(IS!E$29-IS!E$28)*360</f>
        <v>37.988890207075897</v>
      </c>
      <c r="G35" s="533">
        <f>G9/(IS!F$29-IS!F$28)*360</f>
        <v>47.917502552856945</v>
      </c>
      <c r="H35" s="533">
        <f>H9/(IS!G$29-IS!G$28)*360</f>
        <v>41.69533824916163</v>
      </c>
      <c r="I35" s="533">
        <f>I9/(IS!H$29-IS!H$28)*360</f>
        <v>49.059024662149518</v>
      </c>
      <c r="J35" s="533">
        <f>J9/(IS!I$29-IS!I$28)*360</f>
        <v>22.55959459933004</v>
      </c>
      <c r="K35" s="533">
        <f>K9/(IS!J$29-IS!J$28)*360</f>
        <v>25.326614618115094</v>
      </c>
      <c r="L35" s="533">
        <f>L9/(IS!K$29-IS!K$28)*360</f>
        <v>24.090632356607017</v>
      </c>
      <c r="M35" s="533">
        <f>M9/(IS!L$29-IS!L$28)*360</f>
        <v>20.148625485622787</v>
      </c>
      <c r="N35" s="11">
        <f>Assumptions!N202</f>
        <v>0</v>
      </c>
      <c r="O35" s="11">
        <f>Assumptions!O202</f>
        <v>0</v>
      </c>
      <c r="P35" s="11">
        <f>Assumptions!P202</f>
        <v>0</v>
      </c>
      <c r="Q35" s="11">
        <f>Assumptions!Q202</f>
        <v>0</v>
      </c>
      <c r="R35" s="11">
        <f>Assumptions!R202</f>
        <v>0</v>
      </c>
      <c r="S35" s="11">
        <f>Assumptions!S202</f>
        <v>0</v>
      </c>
      <c r="T35" s="11">
        <f>Assumptions!T202</f>
        <v>0</v>
      </c>
    </row>
    <row r="36" spans="2:21">
      <c r="B36" s="166" t="s">
        <v>232</v>
      </c>
      <c r="D36" s="11"/>
      <c r="E36" s="533">
        <f>E10/(IS!D$29-IS!D$28)*360</f>
        <v>-1.7450354452928947</v>
      </c>
      <c r="F36" s="533">
        <f>F10/(IS!E$29-IS!E$28)*360</f>
        <v>-2.3613737080143173</v>
      </c>
      <c r="G36" s="533">
        <f>G10/(IS!F$29-IS!F$28)*360</f>
        <v>-5.5979824514329897</v>
      </c>
      <c r="H36" s="533">
        <f>H10/(IS!G$29-IS!G$28)*360</f>
        <v>-22.464352840932552</v>
      </c>
      <c r="I36" s="533">
        <f>I10/(IS!H$29-IS!H$28)*360</f>
        <v>-9.1334291865327693</v>
      </c>
      <c r="J36" s="533">
        <f>J10/(IS!I$29-IS!I$28)*360</f>
        <v>1.4611447401387496</v>
      </c>
      <c r="K36" s="533">
        <f>K10/(IS!J$29-IS!J$28)*360</f>
        <v>4.6398647581540526</v>
      </c>
      <c r="L36" s="533">
        <f>L10/(IS!K$29-IS!K$28)*360</f>
        <v>7.3676627266567714</v>
      </c>
      <c r="M36" s="533">
        <f>M10/(IS!L$29-IS!L$28)*360</f>
        <v>5.7215730453354832</v>
      </c>
      <c r="N36" s="11">
        <f>Assumptions!N203</f>
        <v>0</v>
      </c>
      <c r="O36" s="11">
        <f>Assumptions!O203</f>
        <v>0</v>
      </c>
      <c r="P36" s="11">
        <f>Assumptions!P203</f>
        <v>0</v>
      </c>
      <c r="Q36" s="11">
        <f>Assumptions!Q203</f>
        <v>0</v>
      </c>
      <c r="R36" s="11">
        <f>Assumptions!R203</f>
        <v>0</v>
      </c>
      <c r="S36" s="11">
        <f>Assumptions!S203</f>
        <v>0</v>
      </c>
      <c r="T36" s="11">
        <f>Assumptions!T203</f>
        <v>0</v>
      </c>
    </row>
    <row r="37" spans="2:21">
      <c r="B37" s="166" t="s">
        <v>233</v>
      </c>
      <c r="C37" s="32"/>
      <c r="D37" s="33"/>
      <c r="E37" s="533">
        <f>E11/(IS!D$29-IS!D$28)*360</f>
        <v>170.21170953206567</v>
      </c>
      <c r="F37" s="533">
        <f>F11/(IS!E$29-IS!E$28)*360</f>
        <v>164.39267514877068</v>
      </c>
      <c r="G37" s="533">
        <f>G11/(IS!F$29-IS!F$28)*360</f>
        <v>164.37167647626688</v>
      </c>
      <c r="H37" s="533">
        <f>H11/(IS!G$29-IS!G$28)*360</f>
        <v>109.31267399588464</v>
      </c>
      <c r="I37" s="533">
        <f>I11/(IS!H$29-IS!H$28)*360</f>
        <v>110.34592965699808</v>
      </c>
      <c r="J37" s="533">
        <f>J11/(IS!I$29-IS!I$28)*360</f>
        <v>148.94792863788578</v>
      </c>
      <c r="K37" s="533">
        <f>K11/(IS!J$29-IS!J$28)*360</f>
        <v>152.09085999594228</v>
      </c>
      <c r="L37" s="533">
        <f>L11/(IS!K$29-IS!K$28)*360</f>
        <v>151.21301856784672</v>
      </c>
      <c r="M37" s="533">
        <f>M11/(IS!L$29-IS!L$28)*360</f>
        <v>264.91678400464889</v>
      </c>
      <c r="N37" s="11">
        <f>Assumptions!N204</f>
        <v>0</v>
      </c>
      <c r="O37" s="11">
        <f>Assumptions!O204</f>
        <v>0</v>
      </c>
      <c r="P37" s="11">
        <f>Assumptions!P204</f>
        <v>0</v>
      </c>
      <c r="Q37" s="11">
        <f>Assumptions!Q204</f>
        <v>0</v>
      </c>
      <c r="R37" s="11">
        <f>Assumptions!R204</f>
        <v>0</v>
      </c>
      <c r="S37" s="11">
        <f>Assumptions!S204</f>
        <v>0</v>
      </c>
      <c r="T37" s="11">
        <f>Assumptions!T204</f>
        <v>0</v>
      </c>
    </row>
    <row r="38" spans="2:21">
      <c r="B38" s="166" t="s">
        <v>149</v>
      </c>
      <c r="D38" s="33"/>
      <c r="E38" s="533">
        <f>E12/(IS!D$29-IS!D$28)*360</f>
        <v>-13.978798527279951</v>
      </c>
      <c r="F38" s="533">
        <f>F12/(IS!E$29-IS!E$28)*360</f>
        <v>-5.3339669087140766</v>
      </c>
      <c r="G38" s="533">
        <f>G12/(IS!F$29-IS!F$28)*360</f>
        <v>-12.222720496458141</v>
      </c>
      <c r="H38" s="533">
        <f>H12/(IS!G$29-IS!G$28)*360</f>
        <v>-2.7176197083460618</v>
      </c>
      <c r="I38" s="533">
        <f>I12/(IS!H$29-IS!H$28)*360</f>
        <v>-14.867494455421978</v>
      </c>
      <c r="J38" s="533">
        <f>J12/(IS!I$29-IS!I$28)*360</f>
        <v>-23.465640651701591</v>
      </c>
      <c r="K38" s="533">
        <f>K12/(IS!J$29-IS!J$28)*360</f>
        <v>-21.479036153415265</v>
      </c>
      <c r="L38" s="533">
        <f>L12/(IS!K$29-IS!K$28)*360</f>
        <v>-13.92293779670624</v>
      </c>
      <c r="M38" s="533">
        <f>M12/(IS!L$29-IS!L$28)*360</f>
        <v>-39.993229485501899</v>
      </c>
      <c r="N38" s="11">
        <f>Assumptions!N205</f>
        <v>0</v>
      </c>
      <c r="O38" s="11">
        <f>Assumptions!O205</f>
        <v>0</v>
      </c>
      <c r="P38" s="11">
        <f>Assumptions!P205</f>
        <v>0</v>
      </c>
      <c r="Q38" s="11">
        <f>Assumptions!Q205</f>
        <v>0</v>
      </c>
      <c r="R38" s="11">
        <f>Assumptions!R205</f>
        <v>0</v>
      </c>
      <c r="S38" s="11">
        <f>Assumptions!S205</f>
        <v>0</v>
      </c>
      <c r="T38" s="11">
        <f>Assumptions!T205</f>
        <v>0</v>
      </c>
    </row>
    <row r="39" spans="2:21">
      <c r="B39" s="166" t="s">
        <v>150</v>
      </c>
      <c r="C39" s="35"/>
      <c r="D39" s="11"/>
      <c r="E39" s="533">
        <f>E13/(IS!D$29-IS!D$28)*360</f>
        <v>25.908056560931509</v>
      </c>
      <c r="F39" s="533">
        <f>F13/(IS!E$29-IS!E$28)*360</f>
        <v>26.046459367070188</v>
      </c>
      <c r="G39" s="533">
        <f>G13/(IS!F$29-IS!F$28)*360</f>
        <v>18.770126151298701</v>
      </c>
      <c r="H39" s="533">
        <f>H13/(IS!G$29-IS!G$28)*360</f>
        <v>14.99533699485716</v>
      </c>
      <c r="I39" s="533">
        <f>I13/(IS!H$29-IS!H$28)*360</f>
        <v>8.894727770372219</v>
      </c>
      <c r="J39" s="533">
        <f>J13/(IS!I$29-IS!I$28)*360</f>
        <v>14.910371127684071</v>
      </c>
      <c r="K39" s="533">
        <f>K13/(IS!J$29-IS!J$28)*360</f>
        <v>23.340149449811044</v>
      </c>
      <c r="L39" s="533">
        <f>L13/(IS!K$29-IS!K$28)*360</f>
        <v>17.508695764879722</v>
      </c>
      <c r="M39" s="533">
        <f>M13/(IS!L$29-IS!L$28)*360</f>
        <v>11.477528267827278</v>
      </c>
      <c r="N39" s="11">
        <f>Assumptions!N206</f>
        <v>0</v>
      </c>
      <c r="O39" s="11">
        <f>Assumptions!O206</f>
        <v>0</v>
      </c>
      <c r="P39" s="11">
        <f>Assumptions!P206</f>
        <v>0</v>
      </c>
      <c r="Q39" s="11">
        <f>Assumptions!Q206</f>
        <v>0</v>
      </c>
      <c r="R39" s="11">
        <f>Assumptions!R206</f>
        <v>0</v>
      </c>
      <c r="S39" s="11">
        <f>Assumptions!S206</f>
        <v>0</v>
      </c>
      <c r="T39" s="11">
        <f>Assumptions!T206</f>
        <v>0</v>
      </c>
    </row>
    <row r="40" spans="2:21">
      <c r="B40" s="166" t="s">
        <v>151</v>
      </c>
      <c r="D40" s="11"/>
      <c r="E40" s="533">
        <f>E14/(IS!D$29-IS!D$28)*360</f>
        <v>125.13504364719591</v>
      </c>
      <c r="F40" s="533">
        <f>F14/(IS!E$29-IS!E$28)*360</f>
        <v>98.929296980386738</v>
      </c>
      <c r="G40" s="533">
        <f>G14/(IS!F$29-IS!F$28)*360</f>
        <v>89.038370606419733</v>
      </c>
      <c r="H40" s="533">
        <f>H14/(IS!G$29-IS!G$28)*360</f>
        <v>117.12170130468456</v>
      </c>
      <c r="I40" s="533">
        <f>I14/(IS!H$29-IS!H$28)*360</f>
        <v>101.33126992509715</v>
      </c>
      <c r="J40" s="533">
        <f>J14/(IS!I$29-IS!I$28)*360</f>
        <v>120.97148733423754</v>
      </c>
      <c r="K40" s="533">
        <f>K14/(IS!J$29-IS!J$28)*360</f>
        <v>110.71352731957451</v>
      </c>
      <c r="L40" s="533">
        <f>L14/(IS!K$29-IS!K$28)*360</f>
        <v>103.59384256992334</v>
      </c>
      <c r="M40" s="533">
        <f>M14/(IS!L$29-IS!L$28)*360</f>
        <v>141.73240109893268</v>
      </c>
      <c r="N40" s="11">
        <f>Assumptions!N207</f>
        <v>0</v>
      </c>
      <c r="O40" s="11">
        <f>Assumptions!O207</f>
        <v>0</v>
      </c>
      <c r="P40" s="11">
        <f>Assumptions!P207</f>
        <v>0</v>
      </c>
      <c r="Q40" s="11">
        <f>Assumptions!Q207</f>
        <v>0</v>
      </c>
      <c r="R40" s="11">
        <f>Assumptions!R207</f>
        <v>0</v>
      </c>
      <c r="S40" s="11">
        <f>Assumptions!S207</f>
        <v>0</v>
      </c>
      <c r="T40" s="11">
        <f>Assumptions!T207</f>
        <v>0</v>
      </c>
    </row>
    <row r="41" spans="2:21">
      <c r="B41" s="166" t="s">
        <v>234</v>
      </c>
      <c r="D41" s="11"/>
      <c r="E41" s="533">
        <f>E15/(IS!D$29-IS!D$28)*360</f>
        <v>-8.9298337138908277</v>
      </c>
      <c r="F41" s="533">
        <f>F15/(IS!E$29-IS!E$28)*360</f>
        <v>-4.6730676647857194</v>
      </c>
      <c r="G41" s="533">
        <f>G15/(IS!F$29-IS!F$28)*360</f>
        <v>-6.5564417765197378</v>
      </c>
      <c r="H41" s="533">
        <f>H15/(IS!G$29-IS!G$28)*360</f>
        <v>-11.392069451350938</v>
      </c>
      <c r="I41" s="533">
        <f>I15/(IS!H$29-IS!H$28)*360</f>
        <v>-4.0869867471515109</v>
      </c>
      <c r="J41" s="533">
        <f>J15/(IS!I$29-IS!I$28)*360</f>
        <v>-11.31478245541482</v>
      </c>
      <c r="K41" s="533">
        <f>K15/(IS!J$29-IS!J$28)*360</f>
        <v>-12.248709186851302</v>
      </c>
      <c r="L41" s="533">
        <f>L15/(IS!K$29-IS!K$28)*360</f>
        <v>10.235320411923672</v>
      </c>
      <c r="M41" s="533">
        <f>M15/(IS!L$29-IS!L$28)*360</f>
        <v>-35.438467159960034</v>
      </c>
      <c r="N41" s="11">
        <f>Assumptions!N208</f>
        <v>0</v>
      </c>
      <c r="O41" s="11">
        <f>Assumptions!O208</f>
        <v>0</v>
      </c>
      <c r="P41" s="11">
        <f>Assumptions!P208</f>
        <v>0</v>
      </c>
      <c r="Q41" s="11">
        <f>Assumptions!Q208</f>
        <v>0</v>
      </c>
      <c r="R41" s="11">
        <f>Assumptions!R208</f>
        <v>0</v>
      </c>
      <c r="S41" s="11">
        <f>Assumptions!S208</f>
        <v>0</v>
      </c>
      <c r="T41" s="11">
        <f>Assumptions!T208</f>
        <v>0</v>
      </c>
    </row>
    <row r="42" spans="2:21">
      <c r="B42" s="166" t="s">
        <v>153</v>
      </c>
      <c r="D42" s="40"/>
      <c r="E42" s="533">
        <f>E16/(IS!D$29-IS!D$28)*360</f>
        <v>1.2540582500939654</v>
      </c>
      <c r="F42" s="533">
        <f>F16/(IS!E$29-IS!E$28)*360</f>
        <v>0.71665683707865124</v>
      </c>
      <c r="G42" s="533">
        <f>G16/(IS!F$29-IS!F$28)*360</f>
        <v>1.1492685921726424</v>
      </c>
      <c r="H42" s="533">
        <f>H16/(IS!G$29-IS!G$28)*360</f>
        <v>1.7351146752782554</v>
      </c>
      <c r="I42" s="533">
        <f>I16/(IS!H$29-IS!H$28)*360</f>
        <v>1.6185971027639958</v>
      </c>
      <c r="J42" s="533">
        <f>J16/(IS!I$29-IS!I$28)*360</f>
        <v>0.86780876743605684</v>
      </c>
      <c r="K42" s="533">
        <f>K16/(IS!J$29-IS!J$28)*360</f>
        <v>11.235672994396667</v>
      </c>
      <c r="L42" s="533">
        <f>L16/(IS!K$29-IS!K$28)*360</f>
        <v>6.7583486676587405</v>
      </c>
      <c r="M42" s="533">
        <f>M16/(IS!L$29-IS!L$28)*360</f>
        <v>1.2907686225781647</v>
      </c>
      <c r="N42" s="11">
        <f>Assumptions!N209</f>
        <v>0</v>
      </c>
      <c r="O42" s="11">
        <f>Assumptions!O209</f>
        <v>0</v>
      </c>
      <c r="P42" s="11">
        <f>Assumptions!P209</f>
        <v>0</v>
      </c>
      <c r="Q42" s="11">
        <f>Assumptions!Q209</f>
        <v>0</v>
      </c>
      <c r="R42" s="11">
        <f>Assumptions!R209</f>
        <v>0</v>
      </c>
      <c r="S42" s="11">
        <f>Assumptions!S209</f>
        <v>0</v>
      </c>
      <c r="T42" s="11">
        <f>Assumptions!T209</f>
        <v>0</v>
      </c>
    </row>
    <row r="43" spans="2:21">
      <c r="B43" s="166" t="s">
        <v>154</v>
      </c>
      <c r="D43" s="11"/>
      <c r="E43" s="533">
        <f>E20/(IS!D$29-IS!D$28)*360</f>
        <v>78.099097722764625</v>
      </c>
      <c r="F43" s="533">
        <f>F20/(IS!E$29-IS!E$28)*360</f>
        <v>82.647815526505127</v>
      </c>
      <c r="G43" s="533">
        <f>G20/(IS!F$29-IS!F$28)*360</f>
        <v>83.817383557136623</v>
      </c>
      <c r="H43" s="533">
        <f>H20/(IS!G$29-IS!G$28)*360</f>
        <v>98.820185433685211</v>
      </c>
      <c r="I43" s="533">
        <f>I20/(IS!H$29-IS!H$28)*360</f>
        <v>82.158431177058603</v>
      </c>
      <c r="J43" s="533">
        <f>J20/(IS!I$29-IS!I$28)*360</f>
        <v>120.65829972434226</v>
      </c>
      <c r="K43" s="533">
        <f>K20/(IS!J$29-IS!J$28)*360</f>
        <v>130.8882225906645</v>
      </c>
      <c r="L43" s="533">
        <f>L20/(IS!K$29-IS!K$28)*360</f>
        <v>122.33318174096411</v>
      </c>
      <c r="M43" s="533">
        <f>M20/(IS!L$29-IS!L$28)*360</f>
        <v>91.586609062635887</v>
      </c>
      <c r="N43" s="11">
        <f>Assumptions!N210</f>
        <v>0</v>
      </c>
      <c r="O43" s="11">
        <f>Assumptions!O210</f>
        <v>0</v>
      </c>
      <c r="P43" s="11">
        <f>Assumptions!P210</f>
        <v>0</v>
      </c>
      <c r="Q43" s="11">
        <f>Assumptions!Q210</f>
        <v>0</v>
      </c>
      <c r="R43" s="11">
        <f>Assumptions!R210</f>
        <v>0</v>
      </c>
      <c r="S43" s="11">
        <f>Assumptions!S210</f>
        <v>0</v>
      </c>
      <c r="T43" s="11">
        <f>Assumptions!T210</f>
        <v>0</v>
      </c>
    </row>
    <row r="44" spans="2:21">
      <c r="B44" s="166" t="s">
        <v>155</v>
      </c>
      <c r="D44" s="11"/>
      <c r="E44" s="533">
        <f>E21/(IS!D$29-IS!D$28)*360</f>
        <v>9.0855577939842256</v>
      </c>
      <c r="F44" s="533">
        <f>F21/(IS!E$29-IS!E$28)*360</f>
        <v>6.4134444822635945</v>
      </c>
      <c r="G44" s="533">
        <f>G21/(IS!F$29-IS!F$28)*360</f>
        <v>4.3005634921947573</v>
      </c>
      <c r="H44" s="533">
        <f>H21/(IS!G$29-IS!G$28)*360</f>
        <v>5.2368057606539553</v>
      </c>
      <c r="I44" s="533">
        <f>I21/(IS!H$29-IS!H$28)*360</f>
        <v>10.022553211500925</v>
      </c>
      <c r="J44" s="533">
        <f>J21/(IS!I$29-IS!I$28)*360</f>
        <v>15.033841708307888</v>
      </c>
      <c r="K44" s="533">
        <f>K21/(IS!J$29-IS!J$28)*360</f>
        <v>15.911312012710273</v>
      </c>
      <c r="L44" s="533">
        <f>L21/(IS!K$29-IS!K$28)*360</f>
        <v>8.1752472411630581</v>
      </c>
      <c r="M44" s="533">
        <f>M21/(IS!L$29-IS!L$28)*360</f>
        <v>3.8575107222598248</v>
      </c>
      <c r="N44" s="11">
        <f>Assumptions!N211</f>
        <v>0</v>
      </c>
      <c r="O44" s="11">
        <f>Assumptions!O211</f>
        <v>0</v>
      </c>
      <c r="P44" s="11">
        <f>Assumptions!P211</f>
        <v>0</v>
      </c>
      <c r="Q44" s="11">
        <f>Assumptions!Q211</f>
        <v>0</v>
      </c>
      <c r="R44" s="11">
        <f>Assumptions!R211</f>
        <v>0</v>
      </c>
      <c r="S44" s="11">
        <f>Assumptions!S211</f>
        <v>0</v>
      </c>
      <c r="T44" s="11">
        <f>Assumptions!T211</f>
        <v>0</v>
      </c>
    </row>
    <row r="45" spans="2:21">
      <c r="B45" s="166" t="s">
        <v>156</v>
      </c>
      <c r="D45" s="33"/>
      <c r="E45" s="533">
        <f>E22/(IS!D$29-IS!D$28)*360</f>
        <v>73.876032595306086</v>
      </c>
      <c r="F45" s="533">
        <f>F22/(IS!E$29-IS!E$28)*360</f>
        <v>54.91039483920401</v>
      </c>
      <c r="G45" s="533">
        <f>G22/(IS!F$29-IS!F$28)*360</f>
        <v>79.118179999234883</v>
      </c>
      <c r="H45" s="533">
        <f>H22/(IS!G$29-IS!G$28)*360</f>
        <v>45.995932672267443</v>
      </c>
      <c r="I45" s="533">
        <f>I22/(IS!H$29-IS!H$28)*360</f>
        <v>54.958288554874123</v>
      </c>
      <c r="J45" s="533">
        <f>J22/(IS!I$29-IS!I$28)*360</f>
        <v>17.304789906537618</v>
      </c>
      <c r="K45" s="533">
        <f>K22/(IS!J$29-IS!J$28)*360</f>
        <v>8.641613248779576</v>
      </c>
      <c r="L45" s="533">
        <f>L22/(IS!K$29-IS!K$28)*360</f>
        <v>48.478164205898672</v>
      </c>
      <c r="M45" s="533">
        <f>M22/(IS!L$29-IS!L$28)*360</f>
        <v>157.5869806521566</v>
      </c>
      <c r="N45" s="11">
        <f>Assumptions!N212</f>
        <v>0</v>
      </c>
      <c r="O45" s="11">
        <f>Assumptions!O212</f>
        <v>0</v>
      </c>
      <c r="P45" s="11">
        <f>Assumptions!P212</f>
        <v>0</v>
      </c>
      <c r="Q45" s="11">
        <f>Assumptions!Q212</f>
        <v>0</v>
      </c>
      <c r="R45" s="11">
        <f>Assumptions!R212</f>
        <v>0</v>
      </c>
      <c r="S45" s="11">
        <f>Assumptions!S212</f>
        <v>0</v>
      </c>
      <c r="T45" s="11">
        <f>Assumptions!T212</f>
        <v>0</v>
      </c>
      <c r="U45" s="33"/>
    </row>
    <row r="46" spans="2:21">
      <c r="B46" s="166" t="s">
        <v>235</v>
      </c>
      <c r="D46" s="11"/>
      <c r="E46" s="533">
        <f>E23/(IS!D$29-IS!D$28)*360</f>
        <v>-41.82199954848037</v>
      </c>
      <c r="F46" s="533">
        <f>F23/(IS!E$29-IS!E$28)*360</f>
        <v>-13.130516805900113</v>
      </c>
      <c r="G46" s="533">
        <f>G23/(IS!F$29-IS!F$28)*360</f>
        <v>-15.879197641055686</v>
      </c>
      <c r="H46" s="533">
        <f>H23/(IS!G$29-IS!G$28)*360</f>
        <v>-18.385563648302021</v>
      </c>
      <c r="I46" s="533">
        <f>I23/(IS!H$29-IS!H$28)*360</f>
        <v>-3.3989764153445985</v>
      </c>
      <c r="J46" s="533">
        <f>J23/(IS!I$29-IS!I$28)*360</f>
        <v>0</v>
      </c>
      <c r="K46" s="533">
        <f>K23/(IS!J$29-IS!J$28)*360</f>
        <v>0</v>
      </c>
      <c r="L46" s="533">
        <f>L23/(IS!K$29-IS!K$28)*360</f>
        <v>0</v>
      </c>
      <c r="M46" s="533">
        <f>M23/(IS!L$29-IS!L$28)*360</f>
        <v>8.4790851255544446</v>
      </c>
      <c r="N46" s="11">
        <f>Assumptions!N213</f>
        <v>0</v>
      </c>
      <c r="O46" s="11">
        <f>Assumptions!O213</f>
        <v>0</v>
      </c>
      <c r="P46" s="11">
        <f>Assumptions!P213</f>
        <v>0</v>
      </c>
      <c r="Q46" s="11">
        <f>Assumptions!Q213</f>
        <v>0</v>
      </c>
      <c r="R46" s="11">
        <f>Assumptions!R213</f>
        <v>0</v>
      </c>
      <c r="S46" s="11">
        <f>Assumptions!S213</f>
        <v>0</v>
      </c>
      <c r="T46" s="11">
        <f>Assumptions!T213</f>
        <v>0</v>
      </c>
    </row>
    <row r="47" spans="2:21">
      <c r="B47" s="166" t="s">
        <v>232</v>
      </c>
      <c r="D47" s="11"/>
      <c r="E47" s="533">
        <f>E24/(IS!D$29-IS!D$28)*360</f>
        <v>-10.392515943897603</v>
      </c>
      <c r="F47" s="533">
        <f>F24/(IS!E$29-IS!E$28)*360</f>
        <v>-13.648983145999049</v>
      </c>
      <c r="G47" s="533">
        <f>G24/(IS!F$29-IS!F$28)*360</f>
        <v>-25.331401202204976</v>
      </c>
      <c r="H47" s="533">
        <f>H24/(IS!G$29-IS!G$28)*360</f>
        <v>-12.72042884075254</v>
      </c>
      <c r="I47" s="533">
        <f>I24/(IS!H$29-IS!H$28)*360</f>
        <v>-8.2505051983480051</v>
      </c>
      <c r="J47" s="533">
        <f>J24/(IS!I$29-IS!I$28)*360</f>
        <v>0</v>
      </c>
      <c r="K47" s="533">
        <f>K24/(IS!J$29-IS!J$28)*360</f>
        <v>0</v>
      </c>
      <c r="L47" s="533">
        <f>L24/(IS!K$29-IS!K$28)*360</f>
        <v>0</v>
      </c>
      <c r="M47" s="533">
        <f>M24/(IS!L$29-IS!L$28)*360</f>
        <v>0</v>
      </c>
      <c r="N47" s="11">
        <f>Assumptions!N214</f>
        <v>0</v>
      </c>
      <c r="O47" s="11">
        <f>Assumptions!O214</f>
        <v>0</v>
      </c>
      <c r="P47" s="11">
        <f>Assumptions!P214</f>
        <v>0</v>
      </c>
      <c r="Q47" s="11">
        <f>Assumptions!Q214</f>
        <v>0</v>
      </c>
      <c r="R47" s="11">
        <f>Assumptions!R214</f>
        <v>0</v>
      </c>
      <c r="S47" s="11">
        <f>Assumptions!S214</f>
        <v>0</v>
      </c>
      <c r="T47" s="11">
        <f>Assumptions!T214</f>
        <v>0</v>
      </c>
    </row>
    <row r="48" spans="2:21">
      <c r="B48" s="156" t="s">
        <v>158</v>
      </c>
      <c r="C48" s="27"/>
      <c r="D48" s="51"/>
      <c r="E48" s="534">
        <f>E25/(IS!D$29-IS!D$28)*360</f>
        <v>5.3518167398552636</v>
      </c>
      <c r="F48" s="534">
        <f>F25/(IS!E$29-IS!E$28)*360</f>
        <v>4.6836378246246371</v>
      </c>
      <c r="G48" s="534">
        <f>G25/(IS!F$29-IS!F$28)*360</f>
        <v>4.2900563739631554</v>
      </c>
      <c r="H48" s="534">
        <f>H25/(IS!G$29-IS!G$28)*360</f>
        <v>3.3758441460989448</v>
      </c>
      <c r="I48" s="534">
        <f>I25/(IS!H$29-IS!H$28)*360</f>
        <v>8.1049980850877983</v>
      </c>
      <c r="J48" s="534">
        <f>J25/(IS!I$29-IS!I$28)*360</f>
        <v>0</v>
      </c>
      <c r="K48" s="534">
        <f>K25/(IS!J$29-IS!J$28)*360</f>
        <v>8.6397677512316626</v>
      </c>
      <c r="L48" s="534">
        <f>L25/(IS!K$29-IS!K$28)*360</f>
        <v>10.069706556945036</v>
      </c>
      <c r="M48" s="534">
        <f>M25/(IS!L$29-IS!L$28)*360</f>
        <v>12.138654672099399</v>
      </c>
      <c r="N48" s="51">
        <f>Assumptions!N215</f>
        <v>0</v>
      </c>
      <c r="O48" s="51">
        <f>Assumptions!O215</f>
        <v>0</v>
      </c>
      <c r="P48" s="51">
        <f>Assumptions!P215</f>
        <v>0</v>
      </c>
      <c r="Q48" s="51">
        <f>Assumptions!Q215</f>
        <v>0</v>
      </c>
      <c r="R48" s="51">
        <f>Assumptions!R215</f>
        <v>0</v>
      </c>
      <c r="S48" s="51">
        <f>Assumptions!S215</f>
        <v>0</v>
      </c>
      <c r="T48" s="51">
        <f>Assumptions!T215</f>
        <v>0</v>
      </c>
    </row>
    <row r="49" spans="1:21">
      <c r="D49" s="11"/>
      <c r="E49" s="11"/>
      <c r="F49" s="11"/>
      <c r="G49" s="11"/>
      <c r="H49" s="11"/>
      <c r="I49" s="11"/>
      <c r="J49" s="11"/>
      <c r="K49" s="11"/>
      <c r="L49" s="11"/>
      <c r="M49" s="11"/>
      <c r="N49" s="11"/>
      <c r="O49" s="11"/>
      <c r="P49" s="11"/>
      <c r="Q49" s="11"/>
      <c r="R49" s="11"/>
      <c r="S49" s="11"/>
      <c r="T49" s="11"/>
    </row>
    <row r="50" spans="1:21">
      <c r="D50" s="11"/>
      <c r="E50" s="11"/>
      <c r="F50" s="11"/>
      <c r="G50" s="11"/>
      <c r="H50" s="11"/>
      <c r="I50" s="11"/>
      <c r="J50" s="11"/>
      <c r="K50" s="11"/>
      <c r="L50" s="11"/>
      <c r="M50" s="11"/>
      <c r="N50" s="11"/>
      <c r="O50" s="11"/>
      <c r="P50" s="11"/>
      <c r="Q50" s="11"/>
      <c r="R50" s="11"/>
      <c r="S50" s="11"/>
      <c r="T50" s="11"/>
    </row>
    <row r="51" spans="1:21" ht="12.75">
      <c r="A51"/>
      <c r="B51" s="5"/>
      <c r="D51" s="40"/>
      <c r="E51" s="40"/>
      <c r="F51" s="40"/>
      <c r="G51" s="40"/>
      <c r="H51" s="40"/>
      <c r="I51" s="40"/>
      <c r="J51" s="40"/>
      <c r="K51" s="40"/>
      <c r="L51" s="40"/>
      <c r="M51" s="40"/>
      <c r="N51" s="40"/>
      <c r="O51" s="40"/>
      <c r="P51" s="40"/>
      <c r="Q51" s="40"/>
      <c r="R51" s="40"/>
      <c r="S51" s="40"/>
      <c r="T51" s="40"/>
    </row>
    <row r="52" spans="1:21">
      <c r="D52" s="11"/>
      <c r="E52" s="11"/>
      <c r="F52" s="11"/>
      <c r="G52" s="11"/>
      <c r="H52" s="11"/>
      <c r="I52" s="11"/>
      <c r="J52" s="11"/>
      <c r="K52" s="11"/>
      <c r="L52" s="11"/>
      <c r="M52" s="11"/>
      <c r="N52" s="11"/>
      <c r="O52" s="11"/>
      <c r="P52" s="11"/>
      <c r="Q52" s="11"/>
      <c r="R52" s="11"/>
      <c r="S52" s="11"/>
      <c r="T52" s="11"/>
    </row>
    <row r="53" spans="1:21">
      <c r="B53" s="5"/>
      <c r="D53" s="40"/>
      <c r="E53" s="40"/>
      <c r="F53" s="40"/>
      <c r="G53" s="40"/>
      <c r="H53" s="40"/>
      <c r="I53" s="40"/>
      <c r="J53" s="40"/>
      <c r="K53" s="40"/>
      <c r="L53" s="40"/>
      <c r="M53" s="40"/>
      <c r="N53" s="40"/>
      <c r="O53" s="40"/>
      <c r="P53" s="40"/>
      <c r="Q53" s="40"/>
      <c r="R53" s="40"/>
      <c r="S53" s="40"/>
      <c r="T53" s="40"/>
    </row>
    <row r="54" spans="1:21">
      <c r="B54" s="5"/>
      <c r="D54" s="11"/>
      <c r="E54" s="11"/>
      <c r="F54" s="11"/>
      <c r="G54" s="11"/>
      <c r="H54" s="11"/>
      <c r="I54" s="11"/>
      <c r="J54" s="11"/>
      <c r="K54" s="11"/>
      <c r="L54" s="11"/>
      <c r="M54" s="11"/>
      <c r="N54" s="11"/>
      <c r="O54" s="11"/>
      <c r="P54" s="11"/>
      <c r="Q54" s="11"/>
      <c r="R54" s="11"/>
      <c r="S54" s="11"/>
      <c r="T54" s="11"/>
    </row>
    <row r="55" spans="1:21">
      <c r="B55" s="5"/>
      <c r="D55" s="40"/>
      <c r="E55" s="40"/>
      <c r="F55" s="40"/>
      <c r="G55" s="40"/>
      <c r="H55" s="40"/>
      <c r="I55" s="40"/>
      <c r="J55" s="40"/>
      <c r="K55" s="40"/>
      <c r="L55" s="40"/>
      <c r="M55" s="40"/>
      <c r="N55" s="40"/>
      <c r="O55" s="40"/>
      <c r="P55" s="40"/>
      <c r="Q55" s="40"/>
      <c r="R55" s="40"/>
      <c r="S55" s="40"/>
      <c r="T55" s="40"/>
    </row>
    <row r="56" spans="1:21">
      <c r="B56" s="5"/>
      <c r="D56" s="33"/>
      <c r="E56" s="33"/>
      <c r="F56" s="33"/>
      <c r="G56" s="33"/>
      <c r="H56" s="33"/>
      <c r="I56" s="33"/>
      <c r="J56" s="33"/>
      <c r="K56" s="33"/>
      <c r="L56" s="33"/>
      <c r="M56" s="33"/>
      <c r="N56" s="33"/>
      <c r="O56" s="33"/>
      <c r="P56" s="33"/>
      <c r="Q56" s="33"/>
      <c r="R56" s="33"/>
      <c r="S56" s="33"/>
      <c r="T56" s="33"/>
    </row>
    <row r="57" spans="1:21">
      <c r="B57" s="5"/>
      <c r="D57" s="11"/>
      <c r="E57" s="11"/>
      <c r="F57" s="11"/>
      <c r="G57" s="11"/>
      <c r="H57" s="11"/>
      <c r="I57" s="11"/>
      <c r="J57" s="11"/>
      <c r="K57" s="11"/>
      <c r="L57" s="11"/>
      <c r="M57" s="11"/>
      <c r="N57" s="11"/>
      <c r="O57" s="11"/>
      <c r="P57" s="11"/>
      <c r="Q57" s="11"/>
      <c r="R57" s="11"/>
      <c r="S57" s="11"/>
      <c r="T57" s="11"/>
    </row>
    <row r="58" spans="1:21">
      <c r="D58" s="11"/>
      <c r="E58" s="11"/>
      <c r="F58" s="11"/>
      <c r="G58" s="11"/>
      <c r="H58" s="11"/>
      <c r="I58" s="11"/>
      <c r="J58" s="11"/>
      <c r="K58" s="11"/>
      <c r="L58" s="11"/>
      <c r="M58" s="11"/>
      <c r="N58" s="11"/>
      <c r="O58" s="11"/>
      <c r="P58" s="11"/>
      <c r="Q58" s="11"/>
      <c r="R58" s="11"/>
      <c r="S58" s="11"/>
      <c r="T58" s="11"/>
    </row>
    <row r="59" spans="1:21">
      <c r="D59" s="11"/>
      <c r="E59" s="11"/>
      <c r="F59" s="11"/>
      <c r="G59" s="11"/>
      <c r="H59" s="11"/>
      <c r="I59" s="11"/>
      <c r="J59" s="11"/>
      <c r="K59" s="11"/>
      <c r="L59" s="11"/>
      <c r="M59" s="11"/>
      <c r="N59" s="11"/>
      <c r="O59" s="11"/>
      <c r="P59" s="11"/>
      <c r="Q59" s="11"/>
      <c r="R59" s="11"/>
      <c r="S59" s="11"/>
      <c r="T59" s="11"/>
    </row>
    <row r="60" spans="1:21">
      <c r="D60" s="11"/>
      <c r="E60" s="11"/>
      <c r="F60" s="11"/>
      <c r="G60" s="11"/>
      <c r="H60" s="11"/>
      <c r="I60" s="11"/>
      <c r="J60" s="11"/>
      <c r="K60" s="11"/>
      <c r="L60" s="11"/>
      <c r="M60" s="11"/>
      <c r="N60" s="11"/>
      <c r="O60" s="11"/>
      <c r="P60" s="11"/>
      <c r="Q60" s="11"/>
      <c r="R60" s="11"/>
      <c r="S60" s="11"/>
      <c r="T60" s="11"/>
      <c r="U60" s="8"/>
    </row>
    <row r="61" spans="1:21">
      <c r="D61" s="11"/>
      <c r="E61" s="11"/>
      <c r="F61" s="11"/>
      <c r="G61" s="11"/>
      <c r="H61" s="11"/>
      <c r="I61" s="11"/>
      <c r="J61" s="11"/>
      <c r="K61" s="11"/>
      <c r="L61" s="11"/>
      <c r="M61" s="11"/>
      <c r="N61" s="11"/>
      <c r="O61" s="11"/>
      <c r="P61" s="11"/>
      <c r="Q61" s="11"/>
      <c r="R61" s="11"/>
      <c r="S61" s="11"/>
      <c r="T61" s="11"/>
      <c r="U61" s="8"/>
    </row>
    <row r="62" spans="1:21">
      <c r="D62" s="11"/>
      <c r="E62" s="11"/>
      <c r="F62" s="11"/>
      <c r="G62" s="11"/>
      <c r="H62" s="11"/>
      <c r="I62" s="11"/>
      <c r="J62" s="11"/>
      <c r="K62" s="11"/>
      <c r="L62" s="11"/>
      <c r="M62" s="11"/>
      <c r="N62" s="11"/>
      <c r="O62" s="11"/>
      <c r="P62" s="11"/>
      <c r="Q62" s="11"/>
      <c r="R62" s="11"/>
      <c r="S62" s="11"/>
      <c r="T62" s="11"/>
    </row>
    <row r="63" spans="1:21">
      <c r="B63" s="5"/>
      <c r="D63" s="40"/>
      <c r="E63" s="40"/>
      <c r="F63" s="40"/>
      <c r="G63" s="40"/>
      <c r="H63" s="40"/>
      <c r="I63" s="40"/>
      <c r="J63" s="40"/>
      <c r="K63" s="40"/>
      <c r="L63" s="40"/>
      <c r="M63" s="40"/>
      <c r="N63" s="40"/>
      <c r="O63" s="40"/>
      <c r="P63" s="40"/>
      <c r="Q63" s="40"/>
      <c r="R63" s="40"/>
      <c r="S63" s="40"/>
      <c r="T63" s="40"/>
    </row>
    <row r="64" spans="1:21">
      <c r="D64" s="11"/>
      <c r="E64" s="11"/>
      <c r="F64" s="11"/>
      <c r="G64" s="11"/>
      <c r="H64" s="11"/>
      <c r="I64" s="11"/>
      <c r="J64" s="11"/>
      <c r="K64" s="11"/>
      <c r="L64" s="11"/>
      <c r="M64" s="11"/>
      <c r="N64" s="11"/>
      <c r="O64" s="11"/>
      <c r="P64" s="11"/>
      <c r="Q64" s="11"/>
      <c r="R64" s="11"/>
      <c r="S64" s="11"/>
      <c r="T64" s="11"/>
    </row>
    <row r="65" spans="1:26">
      <c r="B65" s="5"/>
      <c r="D65" s="11"/>
      <c r="E65" s="11"/>
      <c r="F65" s="11"/>
      <c r="G65" s="11"/>
      <c r="H65" s="11"/>
      <c r="I65" s="11"/>
      <c r="J65" s="11"/>
      <c r="K65" s="11"/>
      <c r="L65" s="11"/>
      <c r="M65" s="11"/>
      <c r="N65" s="11"/>
      <c r="O65" s="11"/>
      <c r="P65" s="11"/>
      <c r="Q65" s="11"/>
      <c r="R65" s="11"/>
      <c r="S65" s="11"/>
      <c r="T65" s="11"/>
    </row>
    <row r="66" spans="1:26">
      <c r="C66" s="35"/>
      <c r="D66" s="11"/>
      <c r="E66" s="11"/>
      <c r="F66" s="11"/>
      <c r="G66" s="11"/>
      <c r="H66" s="11"/>
      <c r="I66" s="11"/>
      <c r="J66" s="11"/>
      <c r="K66" s="11"/>
      <c r="L66" s="11"/>
      <c r="M66" s="11"/>
      <c r="N66" s="11"/>
      <c r="O66" s="11"/>
      <c r="P66" s="11"/>
      <c r="Q66" s="11"/>
      <c r="R66" s="11"/>
      <c r="S66" s="11"/>
      <c r="T66" s="11"/>
      <c r="V66" s="59"/>
      <c r="W66" s="59"/>
      <c r="X66" s="59"/>
      <c r="Y66" s="59"/>
      <c r="Z66" s="59"/>
    </row>
    <row r="67" spans="1:26">
      <c r="D67" s="11"/>
      <c r="E67" s="11"/>
      <c r="F67" s="11"/>
      <c r="G67" s="11"/>
      <c r="H67" s="11"/>
      <c r="I67" s="11"/>
      <c r="J67" s="11"/>
      <c r="K67" s="11"/>
      <c r="L67" s="11"/>
      <c r="M67" s="11"/>
      <c r="N67" s="11"/>
      <c r="O67" s="11"/>
      <c r="P67" s="11"/>
      <c r="Q67" s="11"/>
      <c r="R67" s="11"/>
      <c r="S67" s="11"/>
      <c r="T67" s="11"/>
      <c r="V67" s="60"/>
      <c r="W67" s="60"/>
      <c r="X67" s="60"/>
      <c r="Y67" s="60"/>
      <c r="Z67" s="60"/>
    </row>
    <row r="68" spans="1:26">
      <c r="C68" s="20"/>
      <c r="D68" s="11"/>
      <c r="E68" s="11"/>
      <c r="F68" s="11"/>
      <c r="G68" s="11"/>
      <c r="H68" s="11"/>
      <c r="I68" s="11"/>
      <c r="J68" s="11"/>
      <c r="K68" s="11"/>
      <c r="L68" s="11"/>
      <c r="M68" s="11"/>
      <c r="N68" s="11"/>
      <c r="O68" s="11"/>
      <c r="P68" s="11"/>
      <c r="Q68" s="11"/>
      <c r="R68" s="11"/>
      <c r="S68" s="11"/>
      <c r="T68" s="11"/>
      <c r="V68" s="60"/>
      <c r="W68" s="60"/>
      <c r="X68" s="60"/>
      <c r="Y68" s="60"/>
      <c r="Z68" s="60"/>
    </row>
    <row r="69" spans="1:26">
      <c r="C69" s="61"/>
      <c r="D69" s="11"/>
      <c r="E69" s="11"/>
      <c r="F69" s="11"/>
      <c r="G69" s="11"/>
      <c r="H69" s="11"/>
      <c r="I69" s="11"/>
      <c r="J69" s="11"/>
      <c r="K69" s="11"/>
      <c r="L69" s="11"/>
      <c r="M69" s="11"/>
      <c r="N69" s="11"/>
      <c r="O69" s="11"/>
      <c r="P69" s="11"/>
      <c r="Q69" s="11"/>
      <c r="R69" s="11"/>
      <c r="S69" s="11"/>
      <c r="T69" s="11"/>
      <c r="V69" s="60"/>
      <c r="W69" s="60"/>
      <c r="X69" s="60"/>
      <c r="Y69" s="60"/>
      <c r="Z69" s="60"/>
    </row>
    <row r="70" spans="1:26">
      <c r="C70" s="61"/>
      <c r="D70" s="11"/>
      <c r="E70" s="11"/>
      <c r="F70" s="11"/>
      <c r="G70" s="11"/>
      <c r="H70" s="11"/>
      <c r="I70" s="11"/>
      <c r="J70" s="11"/>
      <c r="K70" s="11"/>
      <c r="L70" s="11"/>
      <c r="M70" s="11"/>
      <c r="N70" s="11"/>
      <c r="O70" s="11"/>
      <c r="P70" s="11"/>
      <c r="Q70" s="11"/>
      <c r="R70" s="11"/>
      <c r="S70" s="11"/>
      <c r="T70" s="11"/>
      <c r="V70" s="60"/>
      <c r="W70" s="60"/>
      <c r="X70" s="60"/>
      <c r="Y70" s="60"/>
      <c r="Z70" s="60"/>
    </row>
    <row r="71" spans="1:26">
      <c r="B71" s="62"/>
      <c r="D71" s="11"/>
      <c r="E71" s="11"/>
      <c r="F71" s="11"/>
      <c r="G71" s="11"/>
      <c r="H71" s="11"/>
      <c r="I71" s="11"/>
      <c r="J71" s="11"/>
      <c r="K71" s="11"/>
      <c r="L71" s="11"/>
      <c r="M71" s="11"/>
      <c r="N71" s="11"/>
      <c r="O71" s="11"/>
      <c r="P71" s="11"/>
      <c r="Q71" s="11"/>
      <c r="R71" s="11"/>
      <c r="S71" s="11"/>
      <c r="T71" s="11"/>
      <c r="V71" s="60"/>
      <c r="W71" s="60"/>
      <c r="X71" s="60"/>
      <c r="Y71" s="60"/>
      <c r="Z71" s="60"/>
    </row>
    <row r="72" spans="1:26">
      <c r="B72" s="46"/>
      <c r="D72" s="40"/>
      <c r="E72" s="40"/>
      <c r="F72" s="40"/>
      <c r="G72" s="40"/>
      <c r="H72" s="40"/>
      <c r="I72" s="40"/>
      <c r="J72" s="40"/>
      <c r="K72" s="40"/>
      <c r="L72" s="40"/>
      <c r="M72" s="40"/>
      <c r="N72" s="40"/>
      <c r="O72" s="40"/>
      <c r="P72" s="40"/>
      <c r="Q72" s="40"/>
      <c r="R72" s="40"/>
      <c r="S72" s="40"/>
      <c r="T72" s="40"/>
      <c r="V72" s="60"/>
      <c r="W72" s="60"/>
      <c r="X72" s="60"/>
      <c r="Y72" s="60"/>
      <c r="Z72" s="60"/>
    </row>
    <row r="73" spans="1:26">
      <c r="B73" s="62"/>
      <c r="D73" s="11"/>
      <c r="E73" s="11"/>
      <c r="F73" s="11"/>
      <c r="G73" s="11"/>
      <c r="H73" s="11"/>
      <c r="I73" s="11"/>
      <c r="J73" s="11"/>
      <c r="K73" s="11"/>
      <c r="L73" s="11"/>
      <c r="M73" s="11"/>
      <c r="N73" s="11"/>
      <c r="O73" s="11"/>
      <c r="P73" s="11"/>
      <c r="Q73" s="11"/>
      <c r="R73" s="11"/>
      <c r="S73" s="11"/>
      <c r="T73" s="11"/>
      <c r="V73" s="60"/>
      <c r="W73" s="60"/>
      <c r="X73" s="60"/>
      <c r="Y73" s="60"/>
      <c r="Z73" s="60"/>
    </row>
    <row r="74" spans="1:26">
      <c r="B74" s="46"/>
      <c r="D74" s="40"/>
      <c r="E74" s="40"/>
      <c r="F74" s="40"/>
      <c r="G74" s="40"/>
      <c r="H74" s="40"/>
      <c r="I74" s="40"/>
      <c r="J74" s="40"/>
      <c r="K74" s="40"/>
      <c r="L74" s="40"/>
      <c r="M74" s="40"/>
      <c r="N74" s="40"/>
      <c r="O74" s="40"/>
      <c r="P74" s="40"/>
      <c r="Q74" s="40"/>
      <c r="R74" s="40"/>
      <c r="S74" s="40"/>
      <c r="T74" s="40"/>
      <c r="V74" s="60"/>
      <c r="W74" s="60"/>
      <c r="X74" s="60"/>
      <c r="Y74" s="60"/>
      <c r="Z74" s="60"/>
    </row>
    <row r="75" spans="1:26">
      <c r="B75" s="62"/>
      <c r="D75" s="63"/>
      <c r="E75" s="63"/>
      <c r="F75" s="63"/>
      <c r="G75" s="63"/>
      <c r="H75" s="63"/>
      <c r="I75" s="63"/>
      <c r="J75" s="63"/>
      <c r="K75" s="63"/>
      <c r="L75" s="63"/>
      <c r="M75" s="63"/>
      <c r="N75" s="63"/>
      <c r="O75" s="63"/>
      <c r="P75" s="63"/>
      <c r="Q75" s="63"/>
      <c r="R75" s="63"/>
      <c r="S75" s="63"/>
      <c r="T75" s="63"/>
      <c r="U75" s="60"/>
      <c r="V75" s="60"/>
      <c r="W75" s="60"/>
      <c r="X75" s="60"/>
      <c r="Y75" s="60"/>
      <c r="Z75" s="60"/>
    </row>
    <row r="76" spans="1:26">
      <c r="D76" s="21"/>
      <c r="V76" s="60"/>
      <c r="W76" s="60"/>
      <c r="X76" s="60"/>
      <c r="Y76" s="60"/>
      <c r="Z76" s="60"/>
    </row>
    <row r="77" spans="1:26" ht="12.75">
      <c r="A77"/>
      <c r="V77" s="60"/>
      <c r="W77" s="60"/>
      <c r="X77" s="60"/>
      <c r="Y77" s="60"/>
      <c r="Z77" s="60"/>
    </row>
    <row r="78" spans="1:26" ht="12.75">
      <c r="A78"/>
    </row>
    <row r="79" spans="1:26">
      <c r="B79" s="5"/>
      <c r="C79" s="35"/>
      <c r="D79" s="39"/>
      <c r="E79" s="39"/>
      <c r="F79" s="39"/>
      <c r="G79" s="39"/>
      <c r="H79" s="39"/>
      <c r="I79" s="39"/>
      <c r="J79" s="39"/>
      <c r="K79" s="39"/>
      <c r="L79" s="39"/>
      <c r="M79" s="39"/>
      <c r="N79" s="39"/>
      <c r="O79" s="39"/>
      <c r="P79" s="39"/>
      <c r="Q79" s="39"/>
      <c r="R79" s="39"/>
      <c r="S79" s="39"/>
      <c r="T79" s="39"/>
    </row>
    <row r="80" spans="1:26">
      <c r="B80" s="5"/>
      <c r="C80" s="35"/>
      <c r="D80" s="11"/>
      <c r="E80" s="11"/>
      <c r="F80" s="11"/>
      <c r="G80" s="11"/>
      <c r="H80" s="11"/>
      <c r="I80" s="11"/>
      <c r="J80" s="11"/>
      <c r="K80" s="11"/>
      <c r="L80" s="11"/>
      <c r="M80" s="11"/>
      <c r="N80" s="11"/>
      <c r="O80" s="11"/>
      <c r="P80" s="11"/>
      <c r="Q80" s="11"/>
      <c r="R80" s="11"/>
      <c r="S80" s="11"/>
      <c r="T80" s="11"/>
    </row>
    <row r="81" spans="1:27">
      <c r="D81" s="11"/>
      <c r="E81" s="11"/>
      <c r="F81" s="11"/>
      <c r="G81" s="11"/>
      <c r="H81" s="11"/>
      <c r="I81" s="11"/>
      <c r="J81" s="11"/>
      <c r="K81" s="11"/>
      <c r="L81" s="11"/>
      <c r="M81" s="11"/>
      <c r="N81" s="11"/>
      <c r="O81" s="11"/>
      <c r="P81" s="11"/>
      <c r="Q81" s="11"/>
      <c r="R81" s="11"/>
      <c r="S81" s="11"/>
      <c r="T81" s="11"/>
    </row>
    <row r="82" spans="1:27">
      <c r="B82" s="5"/>
      <c r="C82" s="35"/>
      <c r="D82" s="40"/>
      <c r="E82" s="40"/>
      <c r="F82" s="40"/>
      <c r="G82" s="40"/>
      <c r="H82" s="40"/>
      <c r="I82" s="40"/>
      <c r="J82" s="40"/>
      <c r="K82" s="40"/>
      <c r="L82" s="40"/>
      <c r="M82" s="40"/>
      <c r="N82" s="40"/>
      <c r="O82" s="40"/>
      <c r="P82" s="40"/>
      <c r="Q82" s="40"/>
      <c r="R82" s="40"/>
      <c r="S82" s="40"/>
      <c r="T82" s="40"/>
    </row>
    <row r="83" spans="1:27" customFormat="1" ht="12.75">
      <c r="A83" s="3"/>
      <c r="B83" s="3"/>
      <c r="C83" s="4"/>
      <c r="D83" s="8"/>
      <c r="E83" s="8"/>
      <c r="F83" s="8"/>
      <c r="G83" s="8"/>
      <c r="H83" s="8"/>
      <c r="I83" s="8"/>
      <c r="J83" s="8"/>
      <c r="K83" s="8"/>
      <c r="L83" s="8"/>
      <c r="M83" s="8"/>
      <c r="N83" s="8"/>
      <c r="O83" s="8"/>
      <c r="P83" s="8"/>
      <c r="Q83" s="8"/>
      <c r="R83" s="8"/>
      <c r="S83" s="8"/>
      <c r="T83" s="8"/>
      <c r="U83" s="3"/>
      <c r="V83" s="3"/>
      <c r="W83" s="3"/>
      <c r="X83" s="3"/>
      <c r="Y83" s="3"/>
      <c r="Z83" s="3"/>
      <c r="AA83" s="3"/>
    </row>
    <row r="84" spans="1:27">
      <c r="D84" s="8"/>
      <c r="E84" s="8"/>
      <c r="F84" s="8"/>
      <c r="G84" s="8"/>
      <c r="H84" s="8"/>
      <c r="I84" s="8"/>
      <c r="J84" s="8"/>
      <c r="K84" s="8"/>
      <c r="L84" s="8"/>
      <c r="M84" s="8"/>
      <c r="N84" s="8"/>
      <c r="O84" s="8"/>
      <c r="P84" s="8"/>
      <c r="Q84" s="8"/>
      <c r="R84" s="8"/>
      <c r="S84" s="8"/>
      <c r="T84" s="8"/>
    </row>
    <row r="85" spans="1:27">
      <c r="D85" s="8"/>
      <c r="E85" s="8"/>
      <c r="F85" s="8"/>
      <c r="G85" s="8"/>
      <c r="H85" s="8"/>
      <c r="I85" s="8"/>
      <c r="J85" s="8"/>
      <c r="K85" s="8"/>
      <c r="L85" s="8"/>
      <c r="M85" s="8"/>
      <c r="N85" s="8"/>
      <c r="O85" s="8"/>
      <c r="P85" s="8"/>
      <c r="Q85" s="8"/>
      <c r="R85" s="8"/>
      <c r="S85" s="8"/>
      <c r="T85" s="8"/>
    </row>
    <row r="86" spans="1:27">
      <c r="B86" s="5"/>
      <c r="C86" s="35"/>
      <c r="D86" s="29"/>
      <c r="E86" s="29"/>
      <c r="F86" s="29"/>
      <c r="G86" s="29"/>
      <c r="H86" s="29"/>
      <c r="I86" s="29"/>
      <c r="J86" s="29"/>
      <c r="K86" s="29"/>
      <c r="L86" s="29"/>
      <c r="M86" s="29"/>
      <c r="N86" s="29"/>
      <c r="O86" s="29"/>
      <c r="P86" s="29"/>
      <c r="Q86" s="29"/>
      <c r="R86" s="29"/>
      <c r="S86" s="29"/>
      <c r="T86" s="29"/>
      <c r="V86" s="8"/>
    </row>
    <row r="87" spans="1:27">
      <c r="D87" s="28"/>
      <c r="E87" s="28"/>
      <c r="F87" s="28"/>
      <c r="G87" s="28"/>
      <c r="H87" s="28"/>
      <c r="I87" s="28"/>
      <c r="J87" s="28"/>
      <c r="K87" s="28"/>
      <c r="L87" s="28"/>
      <c r="M87" s="28"/>
      <c r="N87" s="28"/>
      <c r="O87" s="28"/>
      <c r="P87" s="28"/>
      <c r="Q87" s="28"/>
      <c r="R87" s="28"/>
      <c r="S87" s="28"/>
      <c r="T87" s="28"/>
      <c r="V87" s="8"/>
    </row>
    <row r="88" spans="1:27">
      <c r="B88" s="5"/>
      <c r="C88" s="35"/>
      <c r="D88" s="29"/>
      <c r="E88" s="29"/>
      <c r="F88" s="29"/>
      <c r="G88" s="29"/>
      <c r="H88" s="29"/>
      <c r="I88" s="29"/>
      <c r="J88" s="29"/>
      <c r="K88" s="29"/>
      <c r="L88" s="29"/>
      <c r="M88" s="29"/>
      <c r="N88" s="29"/>
      <c r="O88" s="29"/>
      <c r="P88" s="29"/>
      <c r="Q88" s="29"/>
      <c r="R88" s="29"/>
      <c r="S88" s="29"/>
      <c r="T88" s="29"/>
    </row>
    <row r="89" spans="1:27">
      <c r="D89" s="41"/>
      <c r="E89" s="41"/>
      <c r="F89" s="41"/>
      <c r="G89" s="41"/>
      <c r="H89" s="41"/>
      <c r="I89" s="41"/>
      <c r="J89" s="41"/>
      <c r="K89" s="41"/>
      <c r="L89" s="41"/>
      <c r="M89" s="41"/>
      <c r="N89" s="41"/>
      <c r="O89" s="41"/>
      <c r="P89" s="41"/>
      <c r="Q89" s="41"/>
      <c r="R89" s="41"/>
      <c r="S89" s="41"/>
      <c r="T89" s="41"/>
    </row>
    <row r="90" spans="1:27">
      <c r="B90" s="5"/>
      <c r="C90" s="35"/>
      <c r="D90" s="29"/>
      <c r="E90" s="29"/>
      <c r="F90" s="29"/>
      <c r="G90" s="29"/>
      <c r="H90" s="29"/>
      <c r="I90" s="29"/>
      <c r="J90" s="29"/>
      <c r="K90" s="29"/>
      <c r="L90" s="29"/>
      <c r="M90" s="29"/>
      <c r="N90" s="29"/>
      <c r="O90" s="29"/>
      <c r="P90" s="29"/>
      <c r="Q90" s="29"/>
      <c r="R90" s="29"/>
      <c r="S90" s="29"/>
      <c r="T90" s="29"/>
    </row>
    <row r="91" spans="1:27">
      <c r="D91" s="8"/>
      <c r="E91" s="8"/>
      <c r="F91" s="8"/>
      <c r="G91" s="8"/>
      <c r="H91" s="8"/>
      <c r="I91" s="8"/>
      <c r="J91" s="8"/>
      <c r="K91" s="8"/>
      <c r="L91" s="8"/>
      <c r="M91" s="8"/>
      <c r="N91" s="8"/>
      <c r="O91" s="8"/>
      <c r="P91" s="8"/>
      <c r="Q91" s="8"/>
      <c r="R91" s="8"/>
      <c r="S91" s="8"/>
      <c r="T91" s="8"/>
    </row>
    <row r="92" spans="1:27">
      <c r="B92" s="5"/>
      <c r="C92" s="35"/>
      <c r="D92" s="29"/>
      <c r="E92" s="29"/>
      <c r="F92" s="29"/>
      <c r="G92" s="29"/>
      <c r="H92" s="29"/>
      <c r="I92" s="29"/>
      <c r="J92" s="29"/>
      <c r="K92" s="29"/>
      <c r="L92" s="29"/>
      <c r="M92" s="29"/>
      <c r="N92" s="29"/>
      <c r="O92" s="29"/>
      <c r="P92" s="29"/>
      <c r="Q92" s="29"/>
      <c r="R92" s="29"/>
      <c r="S92" s="29"/>
      <c r="T92" s="29"/>
    </row>
    <row r="93" spans="1:27">
      <c r="D93" s="8"/>
      <c r="E93" s="8"/>
      <c r="F93" s="8"/>
      <c r="G93" s="8"/>
      <c r="H93" s="8"/>
      <c r="I93" s="8"/>
      <c r="J93" s="8"/>
      <c r="K93" s="8"/>
      <c r="L93" s="8"/>
      <c r="M93" s="8"/>
      <c r="N93" s="8"/>
      <c r="O93" s="8"/>
      <c r="P93" s="8"/>
      <c r="Q93" s="8"/>
      <c r="R93" s="8"/>
      <c r="S93" s="8"/>
      <c r="T93" s="8"/>
    </row>
    <row r="94" spans="1:27">
      <c r="D94" s="8"/>
      <c r="E94" s="8"/>
      <c r="F94" s="8"/>
      <c r="G94" s="8"/>
      <c r="H94" s="8"/>
      <c r="I94" s="8"/>
      <c r="J94" s="8"/>
      <c r="K94" s="8"/>
      <c r="L94" s="8"/>
      <c r="M94" s="8"/>
      <c r="N94" s="8"/>
      <c r="O94" s="8"/>
      <c r="P94" s="8"/>
      <c r="Q94" s="8"/>
      <c r="R94" s="8"/>
      <c r="S94" s="8"/>
      <c r="T94" s="8"/>
    </row>
    <row r="95" spans="1:27">
      <c r="D95" s="8"/>
      <c r="E95" s="8"/>
      <c r="F95" s="8"/>
      <c r="G95" s="8"/>
      <c r="H95" s="8"/>
      <c r="I95" s="8"/>
      <c r="J95" s="8"/>
      <c r="K95" s="8"/>
      <c r="L95" s="8"/>
      <c r="M95" s="8"/>
      <c r="N95" s="8"/>
      <c r="O95" s="8"/>
      <c r="P95" s="8"/>
      <c r="Q95" s="8"/>
      <c r="R95" s="8"/>
      <c r="S95" s="8"/>
      <c r="T95" s="8"/>
    </row>
    <row r="97" spans="1:27">
      <c r="B97" s="5"/>
      <c r="C97" s="35"/>
      <c r="D97" s="29"/>
      <c r="E97" s="29"/>
      <c r="F97" s="29"/>
      <c r="G97" s="29"/>
      <c r="H97" s="29"/>
      <c r="I97" s="29"/>
      <c r="J97" s="29"/>
      <c r="K97" s="29"/>
      <c r="L97" s="29"/>
      <c r="M97" s="29"/>
      <c r="N97" s="29"/>
      <c r="O97" s="29"/>
      <c r="P97" s="29"/>
      <c r="Q97" s="29"/>
      <c r="R97" s="29"/>
      <c r="S97" s="29"/>
      <c r="T97" s="29"/>
    </row>
    <row r="98" spans="1:27">
      <c r="B98" s="5"/>
      <c r="C98" s="35"/>
      <c r="D98" s="29"/>
      <c r="E98" s="29"/>
      <c r="F98" s="29"/>
      <c r="G98" s="29"/>
      <c r="H98" s="29"/>
      <c r="I98" s="29"/>
      <c r="J98" s="29"/>
      <c r="K98" s="29"/>
      <c r="L98" s="29"/>
      <c r="M98" s="29"/>
      <c r="N98" s="29"/>
      <c r="O98" s="29"/>
      <c r="P98" s="29"/>
      <c r="Q98" s="29"/>
      <c r="R98" s="29"/>
      <c r="S98" s="29"/>
      <c r="T98" s="29"/>
    </row>
    <row r="99" spans="1:27">
      <c r="B99" s="8"/>
      <c r="D99" s="29"/>
      <c r="E99" s="29"/>
      <c r="F99" s="29"/>
      <c r="G99" s="29"/>
      <c r="H99" s="29"/>
      <c r="I99" s="29"/>
      <c r="J99" s="29"/>
      <c r="K99" s="29"/>
      <c r="L99" s="29"/>
      <c r="M99" s="29"/>
      <c r="N99" s="29"/>
      <c r="O99" s="29"/>
      <c r="P99" s="29"/>
      <c r="Q99" s="29"/>
      <c r="R99" s="29"/>
      <c r="S99" s="29"/>
      <c r="T99" s="29"/>
    </row>
    <row r="100" spans="1:27" customFormat="1" ht="12.75">
      <c r="A100" s="3"/>
      <c r="B100" s="3"/>
      <c r="C100" s="4"/>
      <c r="D100" s="8"/>
      <c r="E100" s="8"/>
      <c r="F100" s="8"/>
      <c r="G100" s="8"/>
      <c r="H100" s="8"/>
      <c r="I100" s="8"/>
      <c r="J100" s="8"/>
      <c r="K100" s="8"/>
      <c r="L100" s="8"/>
      <c r="M100" s="8"/>
      <c r="N100" s="8"/>
      <c r="O100" s="8"/>
      <c r="P100" s="8"/>
      <c r="Q100" s="8"/>
      <c r="R100" s="8"/>
      <c r="S100" s="8"/>
      <c r="T100" s="8"/>
      <c r="U100" s="3"/>
      <c r="V100" s="3"/>
      <c r="W100" s="3"/>
      <c r="X100" s="3"/>
      <c r="Y100" s="3"/>
      <c r="Z100" s="3"/>
      <c r="AA100" s="3"/>
    </row>
    <row r="101" spans="1:27" customFormat="1" ht="12.75">
      <c r="A101" s="3"/>
      <c r="B101" s="8"/>
      <c r="C101" s="4"/>
      <c r="D101" s="8"/>
      <c r="E101" s="8"/>
      <c r="F101" s="8"/>
      <c r="G101" s="8"/>
      <c r="H101" s="8"/>
      <c r="I101" s="8"/>
      <c r="J101" s="8"/>
      <c r="K101" s="8"/>
      <c r="L101" s="8"/>
      <c r="M101" s="8"/>
      <c r="N101" s="8"/>
      <c r="O101" s="8"/>
      <c r="P101" s="8"/>
      <c r="Q101" s="8"/>
      <c r="R101" s="8"/>
      <c r="S101" s="8"/>
      <c r="T101" s="8"/>
      <c r="U101" s="3"/>
      <c r="V101" s="3"/>
      <c r="W101" s="3"/>
      <c r="X101" s="3"/>
      <c r="Y101" s="3"/>
      <c r="Z101" s="3"/>
      <c r="AA101" s="3"/>
    </row>
    <row r="102" spans="1:27" customFormat="1" ht="12.75">
      <c r="A102" s="3"/>
      <c r="B102" s="3"/>
      <c r="C102" s="4"/>
      <c r="D102" s="8"/>
      <c r="E102" s="8"/>
      <c r="F102" s="8"/>
      <c r="G102" s="8"/>
      <c r="H102" s="8"/>
      <c r="I102" s="8"/>
      <c r="J102" s="8"/>
      <c r="K102" s="8"/>
      <c r="L102" s="8"/>
      <c r="M102" s="8"/>
      <c r="N102" s="8"/>
      <c r="O102" s="8"/>
      <c r="P102" s="8"/>
      <c r="Q102" s="8"/>
      <c r="R102" s="8"/>
      <c r="S102" s="8"/>
      <c r="T102" s="8"/>
      <c r="U102" s="3"/>
      <c r="V102" s="3"/>
      <c r="W102" s="3"/>
      <c r="X102" s="3"/>
      <c r="Y102" s="3"/>
      <c r="Z102" s="3"/>
      <c r="AA102" s="3"/>
    </row>
    <row r="103" spans="1:27" customFormat="1" ht="12.75">
      <c r="A103" s="3"/>
      <c r="B103" s="8"/>
      <c r="C103" s="4"/>
      <c r="D103" s="8"/>
      <c r="E103" s="8"/>
      <c r="F103" s="8"/>
      <c r="G103" s="8"/>
      <c r="H103" s="8"/>
      <c r="I103" s="8"/>
      <c r="J103" s="8"/>
      <c r="K103" s="8"/>
      <c r="L103" s="8"/>
      <c r="M103" s="8"/>
      <c r="N103" s="8"/>
      <c r="O103" s="8"/>
      <c r="P103" s="8"/>
      <c r="Q103" s="8"/>
      <c r="R103" s="8"/>
      <c r="S103" s="8"/>
      <c r="T103" s="8"/>
      <c r="U103" s="3"/>
      <c r="V103" s="3"/>
      <c r="W103" s="3"/>
      <c r="X103" s="3"/>
      <c r="Y103" s="3"/>
      <c r="Z103" s="3"/>
      <c r="AA103" s="3"/>
    </row>
    <row r="104" spans="1:27" customFormat="1" ht="12.75">
      <c r="A104" s="3"/>
      <c r="B104" s="3"/>
      <c r="C104" s="4"/>
      <c r="D104" s="8"/>
      <c r="E104" s="8"/>
      <c r="F104" s="8"/>
      <c r="G104" s="8"/>
      <c r="H104" s="8"/>
      <c r="I104" s="8"/>
      <c r="J104" s="8"/>
      <c r="K104" s="8"/>
      <c r="L104" s="8"/>
      <c r="M104" s="8"/>
      <c r="N104" s="8"/>
      <c r="O104" s="8"/>
      <c r="P104" s="8"/>
      <c r="Q104" s="8"/>
      <c r="R104" s="8"/>
      <c r="S104" s="8"/>
      <c r="T104" s="8"/>
      <c r="U104" s="3"/>
      <c r="V104" s="3"/>
      <c r="W104" s="3"/>
      <c r="X104" s="3"/>
      <c r="Y104" s="3"/>
      <c r="Z104" s="3"/>
      <c r="AA104" s="3"/>
    </row>
    <row r="105" spans="1:27" customFormat="1" ht="12.75">
      <c r="A105" s="3"/>
      <c r="B105" s="8"/>
      <c r="C105" s="4"/>
      <c r="D105" s="8"/>
      <c r="E105" s="8"/>
      <c r="F105" s="8"/>
      <c r="G105" s="8"/>
      <c r="H105" s="8"/>
      <c r="I105" s="8"/>
      <c r="J105" s="8"/>
      <c r="K105" s="8"/>
      <c r="L105" s="8"/>
      <c r="M105" s="8"/>
      <c r="N105" s="8"/>
      <c r="O105" s="8"/>
      <c r="P105" s="8"/>
      <c r="Q105" s="8"/>
      <c r="R105" s="8"/>
      <c r="S105" s="8"/>
      <c r="T105" s="8"/>
      <c r="U105" s="3"/>
      <c r="V105" s="3"/>
      <c r="W105" s="3"/>
      <c r="X105" s="3"/>
      <c r="Y105" s="3"/>
      <c r="Z105" s="3"/>
      <c r="AA105" s="3"/>
    </row>
    <row r="106" spans="1:27">
      <c r="D106" s="8"/>
      <c r="E106" s="8"/>
      <c r="F106" s="8"/>
      <c r="G106" s="8"/>
      <c r="H106" s="8"/>
      <c r="I106" s="8"/>
      <c r="J106" s="8"/>
      <c r="K106" s="8"/>
      <c r="L106" s="8"/>
      <c r="M106" s="8"/>
      <c r="N106" s="8"/>
      <c r="O106" s="8"/>
      <c r="P106" s="8"/>
      <c r="Q106" s="8"/>
      <c r="R106" s="8"/>
      <c r="S106" s="8"/>
      <c r="T106" s="8"/>
    </row>
    <row r="107" spans="1:27">
      <c r="B107" s="29"/>
      <c r="C107" s="42"/>
      <c r="D107" s="29"/>
      <c r="E107" s="29"/>
      <c r="F107" s="29"/>
      <c r="G107" s="29"/>
      <c r="H107" s="29"/>
      <c r="I107" s="29"/>
      <c r="J107" s="29"/>
      <c r="K107" s="29"/>
      <c r="L107" s="29"/>
      <c r="M107" s="29"/>
      <c r="N107" s="29"/>
      <c r="O107" s="29"/>
      <c r="P107" s="29"/>
      <c r="Q107" s="29"/>
      <c r="R107" s="29"/>
      <c r="S107" s="29"/>
      <c r="T107" s="29"/>
    </row>
    <row r="108" spans="1:27">
      <c r="D108" s="8"/>
      <c r="E108" s="8"/>
      <c r="F108" s="8"/>
      <c r="G108" s="8"/>
      <c r="H108" s="8"/>
      <c r="I108" s="8"/>
      <c r="J108" s="8"/>
      <c r="K108" s="8"/>
      <c r="L108" s="8"/>
      <c r="M108" s="8"/>
      <c r="N108" s="8"/>
      <c r="O108" s="8"/>
      <c r="P108" s="8"/>
      <c r="Q108" s="8"/>
      <c r="R108" s="8"/>
      <c r="S108" s="8"/>
      <c r="T108" s="8"/>
    </row>
    <row r="109" spans="1:27">
      <c r="B109" s="5"/>
      <c r="C109" s="43"/>
      <c r="D109" s="8"/>
      <c r="E109" s="8"/>
      <c r="F109" s="8"/>
      <c r="G109" s="8"/>
      <c r="H109" s="8"/>
      <c r="I109" s="8"/>
      <c r="J109" s="8"/>
      <c r="K109" s="8"/>
      <c r="L109" s="8"/>
      <c r="M109" s="8"/>
      <c r="N109" s="8"/>
      <c r="O109" s="8"/>
      <c r="P109" s="8"/>
      <c r="Q109" s="8"/>
      <c r="R109" s="8"/>
      <c r="S109" s="8"/>
      <c r="T109" s="8"/>
      <c r="U109" s="8"/>
    </row>
    <row r="110" spans="1:27">
      <c r="C110" s="43"/>
      <c r="D110" s="8"/>
      <c r="E110" s="8"/>
      <c r="F110" s="8"/>
      <c r="G110" s="8"/>
      <c r="H110" s="8"/>
      <c r="I110" s="8"/>
      <c r="J110" s="8"/>
      <c r="K110" s="8"/>
      <c r="L110" s="8"/>
      <c r="M110" s="8"/>
      <c r="N110" s="8"/>
      <c r="O110" s="8"/>
      <c r="P110" s="8"/>
      <c r="Q110" s="8"/>
      <c r="R110" s="8"/>
      <c r="S110" s="8"/>
      <c r="T110" s="8"/>
      <c r="U110" s="8"/>
    </row>
    <row r="111" spans="1:27">
      <c r="C111" s="3"/>
      <c r="H111" s="8"/>
    </row>
    <row r="112" spans="1:27">
      <c r="H112" s="8"/>
    </row>
    <row r="113" spans="5:26">
      <c r="E113" s="44"/>
      <c r="F113" s="5"/>
      <c r="H113" s="8"/>
    </row>
    <row r="121" spans="5:26">
      <c r="V121" s="8"/>
    </row>
    <row r="122" spans="5:26">
      <c r="V122" s="8"/>
    </row>
    <row r="123" spans="5:26">
      <c r="V123" s="8"/>
    </row>
    <row r="124" spans="5:26">
      <c r="V124" s="8"/>
    </row>
    <row r="125" spans="5:26">
      <c r="V125" s="8"/>
    </row>
    <row r="126" spans="5:26">
      <c r="V126" s="8"/>
    </row>
    <row r="127" spans="5:26">
      <c r="Z127" s="8"/>
    </row>
    <row r="128" spans="5:26">
      <c r="X128" s="9"/>
      <c r="Y128" s="10"/>
      <c r="Z128" s="8"/>
    </row>
    <row r="129" spans="26:26">
      <c r="Z129" s="8"/>
    </row>
  </sheetData>
  <sheetProtection selectLockedCells="1" selectUnlockedCells="1"/>
  <phoneticPr fontId="3" type="noConversion"/>
  <pageMargins left="0.78740157499999996" right="0.78740157499999996" top="0.984251969" bottom="0.984251969" header="0.49212598499999999" footer="0.49212598499999999"/>
  <pageSetup paperSize="9" scale="40" orientation="portrait" r:id="rId1"/>
  <headerFooter alignWithMargins="0"/>
  <ignoredErrors>
    <ignoredError sqref="M18" formula="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Planilha11">
    <pageSetUpPr fitToPage="1"/>
  </sheetPr>
  <dimension ref="A1:Z121"/>
  <sheetViews>
    <sheetView showGridLines="0" zoomScaleNormal="100" workbookViewId="0">
      <pane xSplit="2" ySplit="7" topLeftCell="C8" activePane="bottomRight" state="frozen"/>
      <selection pane="topRight" activeCell="C1" sqref="C1"/>
      <selection pane="bottomLeft" activeCell="A8" sqref="A8"/>
      <selection pane="bottomRight" activeCell="M32" sqref="M32"/>
    </sheetView>
  </sheetViews>
  <sheetFormatPr defaultColWidth="0" defaultRowHeight="11.25"/>
  <cols>
    <col min="1" max="1" width="3.42578125" style="3" customWidth="1"/>
    <col min="2" max="2" width="35.5703125" style="3" customWidth="1"/>
    <col min="3" max="3" width="2.7109375" style="4" customWidth="1"/>
    <col min="4" max="5" width="10.42578125" style="3" customWidth="1"/>
    <col min="6" max="6" width="10.85546875" style="3" bestFit="1" customWidth="1"/>
    <col min="7" max="12" width="11.140625" style="3" bestFit="1" customWidth="1"/>
    <col min="13" max="19" width="11.140625" style="3" customWidth="1"/>
    <col min="20" max="20" width="3.28515625" style="3" customWidth="1"/>
    <col min="21" max="25" width="2" style="3" hidden="1" customWidth="1"/>
    <col min="26" max="26" width="15" style="3" hidden="1" customWidth="1"/>
    <col min="27" max="16384" width="0" style="3" hidden="1"/>
  </cols>
  <sheetData>
    <row r="1" spans="2:26" customFormat="1" ht="21.75" customHeight="1">
      <c r="B1" s="152" t="s">
        <v>2</v>
      </c>
      <c r="C1" s="25"/>
      <c r="D1" s="23"/>
      <c r="E1" s="23"/>
      <c r="F1" s="23"/>
      <c r="G1" s="23"/>
      <c r="H1" s="23"/>
      <c r="I1" s="23"/>
      <c r="J1" s="23"/>
      <c r="K1" s="23"/>
      <c r="L1" s="23"/>
      <c r="M1" s="23"/>
      <c r="N1" s="23"/>
      <c r="O1" s="23"/>
      <c r="P1" s="23"/>
      <c r="Q1" s="23"/>
      <c r="R1" s="23"/>
      <c r="S1" s="23"/>
    </row>
    <row r="2" spans="2:26" customFormat="1" ht="16.5" customHeight="1" thickBot="1">
      <c r="B2" s="153" t="s">
        <v>26</v>
      </c>
      <c r="C2" s="24"/>
      <c r="D2" s="24"/>
      <c r="E2" s="24"/>
      <c r="F2" s="24"/>
      <c r="G2" s="24"/>
      <c r="H2" s="24"/>
      <c r="I2" s="24"/>
      <c r="J2" s="24"/>
      <c r="K2" s="24"/>
      <c r="L2" s="24"/>
      <c r="M2" s="24"/>
      <c r="N2" s="24"/>
      <c r="O2" s="24"/>
      <c r="P2" s="24"/>
      <c r="Q2" s="24"/>
      <c r="R2" s="24"/>
      <c r="S2" s="24"/>
    </row>
    <row r="3" spans="2:26" customFormat="1" ht="23.25" customHeight="1">
      <c r="B3" s="22"/>
      <c r="C3" s="22"/>
      <c r="D3" s="22"/>
      <c r="E3" s="22"/>
      <c r="F3" s="22"/>
      <c r="G3" s="22"/>
      <c r="H3" s="22"/>
      <c r="I3" s="22"/>
      <c r="J3" s="45"/>
      <c r="K3" s="45"/>
      <c r="L3" s="45"/>
      <c r="M3" s="45"/>
      <c r="N3" s="45"/>
      <c r="O3" s="45"/>
      <c r="P3" s="45"/>
      <c r="Q3" s="45"/>
      <c r="R3" s="45"/>
      <c r="S3" s="45"/>
    </row>
    <row r="4" spans="2:26" customFormat="1" ht="6.75" customHeight="1">
      <c r="B4" s="1"/>
      <c r="C4" s="1"/>
      <c r="D4" s="1"/>
      <c r="E4" s="1"/>
      <c r="F4" s="1"/>
      <c r="G4" s="1"/>
      <c r="H4" s="1"/>
      <c r="I4" s="1"/>
      <c r="J4" s="45"/>
      <c r="K4" s="45"/>
      <c r="L4" s="45"/>
      <c r="M4" s="45"/>
      <c r="N4" s="45"/>
      <c r="O4" s="45"/>
      <c r="P4" s="45"/>
      <c r="Q4" s="45"/>
      <c r="R4" s="45"/>
      <c r="S4" s="45"/>
    </row>
    <row r="5" spans="2:26" customFormat="1" ht="3.75" customHeight="1">
      <c r="B5" s="1"/>
      <c r="C5" s="1"/>
      <c r="D5" s="1"/>
      <c r="E5" s="1"/>
      <c r="F5" s="1"/>
      <c r="G5" s="1"/>
      <c r="H5" s="1"/>
      <c r="I5" s="1"/>
      <c r="J5" s="1"/>
      <c r="K5" s="1"/>
      <c r="L5" s="1"/>
      <c r="M5" s="1"/>
      <c r="N5" s="1"/>
      <c r="O5" s="1"/>
      <c r="P5" s="1"/>
      <c r="Q5" s="1"/>
      <c r="R5" s="1"/>
      <c r="S5" s="1"/>
    </row>
    <row r="6" spans="2:26" customFormat="1" ht="12.75">
      <c r="B6" s="15" t="s">
        <v>1</v>
      </c>
      <c r="C6" s="16"/>
      <c r="D6" s="535">
        <v>2013</v>
      </c>
      <c r="E6" s="535">
        <v>2014</v>
      </c>
      <c r="F6" s="535">
        <v>2015</v>
      </c>
      <c r="G6" s="535">
        <v>2016</v>
      </c>
      <c r="H6" s="535">
        <v>2017</v>
      </c>
      <c r="I6" s="535">
        <v>2018</v>
      </c>
      <c r="J6" s="535">
        <v>2019</v>
      </c>
      <c r="K6" s="535">
        <v>2020</v>
      </c>
      <c r="L6" s="535">
        <v>2021</v>
      </c>
      <c r="M6" s="528">
        <v>2022</v>
      </c>
      <c r="N6" s="528">
        <v>2023</v>
      </c>
      <c r="O6" s="528">
        <v>2024</v>
      </c>
      <c r="P6" s="528">
        <v>2025</v>
      </c>
      <c r="Q6" s="528">
        <v>2026</v>
      </c>
      <c r="R6" s="528">
        <v>2027</v>
      </c>
      <c r="S6" s="528">
        <v>2028</v>
      </c>
    </row>
    <row r="7" spans="2:26" customFormat="1" ht="12.75">
      <c r="B7" s="6"/>
      <c r="C7" s="14"/>
      <c r="D7" s="433" t="s">
        <v>3</v>
      </c>
      <c r="E7" s="433" t="s">
        <v>3</v>
      </c>
      <c r="F7" s="433" t="s">
        <v>3</v>
      </c>
      <c r="G7" s="433" t="s">
        <v>3</v>
      </c>
      <c r="H7" s="433" t="s">
        <v>3</v>
      </c>
      <c r="I7" s="433" t="s">
        <v>3</v>
      </c>
      <c r="J7" s="433" t="s">
        <v>3</v>
      </c>
      <c r="K7" s="433" t="s">
        <v>3</v>
      </c>
      <c r="L7" s="433" t="s">
        <v>3</v>
      </c>
      <c r="M7" s="56" t="s">
        <v>4</v>
      </c>
      <c r="N7" s="56" t="s">
        <v>4</v>
      </c>
      <c r="O7" s="56" t="s">
        <v>4</v>
      </c>
      <c r="P7" s="56" t="s">
        <v>4</v>
      </c>
      <c r="Q7" s="56" t="s">
        <v>4</v>
      </c>
      <c r="R7" s="56" t="s">
        <v>4</v>
      </c>
      <c r="S7" s="56" t="s">
        <v>4</v>
      </c>
      <c r="T7" s="57"/>
      <c r="U7" s="57"/>
      <c r="V7" s="57"/>
      <c r="W7" s="57"/>
      <c r="X7" s="57"/>
      <c r="Y7" s="3"/>
      <c r="Z7" s="3"/>
    </row>
    <row r="8" spans="2:26" customFormat="1" ht="8.25" customHeight="1">
      <c r="C8" s="13"/>
      <c r="D8" s="434"/>
      <c r="E8" s="434"/>
      <c r="F8" s="434"/>
      <c r="G8" s="434"/>
      <c r="H8" s="434"/>
      <c r="I8" s="434"/>
      <c r="J8" s="434"/>
      <c r="K8" s="434"/>
      <c r="L8" s="434"/>
    </row>
    <row r="9" spans="2:26" customFormat="1" ht="12.75">
      <c r="B9" s="5" t="s">
        <v>236</v>
      </c>
      <c r="C9" s="4"/>
      <c r="D9" s="359"/>
      <c r="E9" s="359"/>
      <c r="F9" s="359"/>
      <c r="G9" s="359"/>
      <c r="H9" s="359"/>
      <c r="I9" s="359"/>
      <c r="J9" s="359"/>
      <c r="K9" s="359"/>
      <c r="L9" s="359"/>
      <c r="M9" s="11"/>
      <c r="N9" s="11"/>
      <c r="O9" s="11"/>
      <c r="P9" s="11"/>
      <c r="Q9" s="11"/>
      <c r="R9" s="11"/>
      <c r="S9" s="11"/>
      <c r="T9" s="3"/>
      <c r="U9" s="3"/>
      <c r="V9" s="3"/>
      <c r="W9" s="3"/>
      <c r="X9" s="3"/>
      <c r="Y9" s="3"/>
      <c r="Z9" s="3"/>
    </row>
    <row r="10" spans="2:26" ht="4.5" customHeight="1">
      <c r="D10" s="359"/>
      <c r="E10" s="359"/>
      <c r="F10" s="359"/>
      <c r="G10" s="359"/>
      <c r="H10" s="359"/>
      <c r="I10" s="359"/>
      <c r="J10" s="359"/>
      <c r="K10" s="359"/>
      <c r="L10" s="359"/>
      <c r="M10" s="11"/>
      <c r="N10" s="11"/>
      <c r="O10" s="11"/>
      <c r="P10" s="11"/>
      <c r="Q10" s="11"/>
      <c r="R10" s="11"/>
      <c r="S10" s="11"/>
    </row>
    <row r="11" spans="2:26">
      <c r="B11" s="5" t="s">
        <v>237</v>
      </c>
      <c r="D11" s="359"/>
      <c r="E11" s="359"/>
      <c r="F11" s="359"/>
      <c r="G11" s="359"/>
      <c r="H11" s="359"/>
      <c r="I11" s="359"/>
      <c r="J11" s="359"/>
      <c r="K11" s="359"/>
      <c r="L11" s="359"/>
      <c r="M11" s="31"/>
      <c r="N11" s="31"/>
      <c r="O11" s="31"/>
      <c r="P11" s="31"/>
      <c r="Q11" s="31"/>
      <c r="R11" s="31"/>
      <c r="S11" s="31"/>
    </row>
    <row r="12" spans="2:26">
      <c r="B12" s="3" t="s">
        <v>89</v>
      </c>
      <c r="D12" s="359">
        <v>341578.22979999997</v>
      </c>
      <c r="E12" s="359">
        <v>495216.99699999997</v>
      </c>
      <c r="F12" s="359">
        <v>657042.37199999997</v>
      </c>
      <c r="G12" s="359">
        <v>606349.09699999995</v>
      </c>
      <c r="H12" s="359">
        <v>747236.28899999999</v>
      </c>
      <c r="I12" s="359">
        <f>903320092.61/1000</f>
        <v>903320.09261000005</v>
      </c>
      <c r="J12" s="359">
        <v>1066400</v>
      </c>
      <c r="K12" s="359">
        <v>1374808.2890700002</v>
      </c>
      <c r="L12" s="359">
        <v>1856552</v>
      </c>
      <c r="M12" s="11">
        <f>Revenue!M9</f>
        <v>0</v>
      </c>
      <c r="N12" s="11">
        <f>Revenue!N9</f>
        <v>0</v>
      </c>
      <c r="O12" s="11">
        <f>Revenue!O9</f>
        <v>0</v>
      </c>
      <c r="P12" s="11">
        <f>Revenue!P9</f>
        <v>0</v>
      </c>
      <c r="Q12" s="11">
        <f>Revenue!Q9</f>
        <v>0</v>
      </c>
      <c r="R12" s="11">
        <f>Revenue!R9</f>
        <v>0</v>
      </c>
      <c r="S12" s="11">
        <f>Revenue!S9</f>
        <v>0</v>
      </c>
    </row>
    <row r="13" spans="2:26">
      <c r="B13" s="3" t="s">
        <v>93</v>
      </c>
      <c r="D13" s="359">
        <v>107213.63602000001</v>
      </c>
      <c r="E13" s="359">
        <v>121619.42200000001</v>
      </c>
      <c r="F13" s="359">
        <v>135948.715</v>
      </c>
      <c r="G13" s="359">
        <v>184955.06299999999</v>
      </c>
      <c r="H13" s="359">
        <v>163884.33882999999</v>
      </c>
      <c r="I13" s="359">
        <f>152917791.82/1000</f>
        <v>152917.79181999998</v>
      </c>
      <c r="J13" s="359">
        <v>265283.5</v>
      </c>
      <c r="K13" s="359">
        <v>401895.96788000001</v>
      </c>
      <c r="L13" s="359">
        <v>480773</v>
      </c>
      <c r="M13" s="11">
        <f>Revenue!M10</f>
        <v>0</v>
      </c>
      <c r="N13" s="11">
        <f>Revenue!N10</f>
        <v>0</v>
      </c>
      <c r="O13" s="11" t="e">
        <f>Revenue!O10</f>
        <v>#DIV/0!</v>
      </c>
      <c r="P13" s="11" t="e">
        <f>Revenue!P10</f>
        <v>#DIV/0!</v>
      </c>
      <c r="Q13" s="11" t="e">
        <f>Revenue!Q10</f>
        <v>#DIV/0!</v>
      </c>
      <c r="R13" s="11" t="e">
        <f>Revenue!R10</f>
        <v>#DIV/0!</v>
      </c>
      <c r="S13" s="11" t="e">
        <f>Revenue!S10</f>
        <v>#DIV/0!</v>
      </c>
    </row>
    <row r="14" spans="2:26">
      <c r="B14" s="3" t="s">
        <v>114</v>
      </c>
      <c r="D14" s="359">
        <v>569141.81953999994</v>
      </c>
      <c r="E14" s="359">
        <v>680055.44799999997</v>
      </c>
      <c r="F14" s="359">
        <v>825606.74300000002</v>
      </c>
      <c r="G14" s="359">
        <v>788889.86399999994</v>
      </c>
      <c r="H14" s="359">
        <v>760844.49491000001</v>
      </c>
      <c r="I14" s="359">
        <f>1098455511.48/1000</f>
        <v>1098455.5114800001</v>
      </c>
      <c r="J14" s="359">
        <v>1230002</v>
      </c>
      <c r="K14" s="359">
        <v>1714878.03143</v>
      </c>
      <c r="L14" s="359">
        <v>1885016</v>
      </c>
      <c r="M14" s="11">
        <f>Revenue!M11</f>
        <v>0</v>
      </c>
      <c r="N14" s="11" t="e">
        <f>Revenue!N11</f>
        <v>#DIV/0!</v>
      </c>
      <c r="O14" s="11" t="e">
        <f>Revenue!O11</f>
        <v>#DIV/0!</v>
      </c>
      <c r="P14" s="11" t="e">
        <f>Revenue!P11</f>
        <v>#DIV/0!</v>
      </c>
      <c r="Q14" s="11" t="e">
        <f>Revenue!Q11</f>
        <v>#DIV/0!</v>
      </c>
      <c r="R14" s="11" t="e">
        <f>Revenue!R11</f>
        <v>#DIV/0!</v>
      </c>
      <c r="S14" s="11" t="e">
        <f>Revenue!S11</f>
        <v>#DIV/0!</v>
      </c>
    </row>
    <row r="15" spans="2:26">
      <c r="B15" s="3" t="s">
        <v>118</v>
      </c>
      <c r="D15" s="359">
        <v>89795.486340000018</v>
      </c>
      <c r="E15" s="359">
        <v>88403.273000000001</v>
      </c>
      <c r="F15" s="359">
        <v>91289.429000000004</v>
      </c>
      <c r="G15" s="359">
        <v>107808.095</v>
      </c>
      <c r="H15" s="359">
        <v>114118.451</v>
      </c>
      <c r="I15" s="359">
        <f>87892128.46/1000</f>
        <v>87892.128459999993</v>
      </c>
      <c r="J15" s="359">
        <v>83717.5</v>
      </c>
      <c r="K15" s="359">
        <v>165594.82027000003</v>
      </c>
      <c r="L15" s="359">
        <v>264319</v>
      </c>
      <c r="M15" s="11">
        <f>Revenue!M12</f>
        <v>0</v>
      </c>
      <c r="N15" s="11">
        <f>Revenue!N12</f>
        <v>0</v>
      </c>
      <c r="O15" s="11">
        <f>Revenue!O12</f>
        <v>0</v>
      </c>
      <c r="P15" s="11">
        <f>Revenue!P12</f>
        <v>0</v>
      </c>
      <c r="Q15" s="11">
        <f>Revenue!Q12</f>
        <v>0</v>
      </c>
      <c r="R15" s="11">
        <f>Revenue!R12</f>
        <v>0</v>
      </c>
      <c r="S15" s="11">
        <f>Revenue!S12</f>
        <v>0</v>
      </c>
    </row>
    <row r="16" spans="2:26">
      <c r="B16" s="26" t="s">
        <v>188</v>
      </c>
      <c r="C16" s="27"/>
      <c r="D16" s="360">
        <v>30366.396000000001</v>
      </c>
      <c r="E16" s="360">
        <v>40465.315999999999</v>
      </c>
      <c r="F16" s="360">
        <v>40563.553999999996</v>
      </c>
      <c r="G16" s="360">
        <v>36694.319000000003</v>
      </c>
      <c r="H16" s="360">
        <v>30858.691999999999</v>
      </c>
      <c r="I16" s="360">
        <v>44825.767999999996</v>
      </c>
      <c r="J16" s="360">
        <v>85593.5</v>
      </c>
      <c r="K16" s="360">
        <v>74483.857350000006</v>
      </c>
      <c r="L16" s="360">
        <v>188941.83</v>
      </c>
      <c r="M16" s="51">
        <f>SUM(M12:M15)*Assumptions!N139</f>
        <v>0</v>
      </c>
      <c r="N16" s="51" t="e">
        <f>SUM(N12:N15)*Assumptions!O139</f>
        <v>#DIV/0!</v>
      </c>
      <c r="O16" s="51" t="e">
        <f>SUM(O12:O15)*Assumptions!P139</f>
        <v>#DIV/0!</v>
      </c>
      <c r="P16" s="51" t="e">
        <f>SUM(P12:P15)*Assumptions!Q139</f>
        <v>#DIV/0!</v>
      </c>
      <c r="Q16" s="51" t="e">
        <f>SUM(Q12:Q15)*Assumptions!R139</f>
        <v>#DIV/0!</v>
      </c>
      <c r="R16" s="51" t="e">
        <f>SUM(R12:R15)*Assumptions!S139</f>
        <v>#DIV/0!</v>
      </c>
      <c r="S16" s="51" t="e">
        <f>SUM(S12:S15)*Assumptions!T139</f>
        <v>#DIV/0!</v>
      </c>
    </row>
    <row r="17" spans="2:19">
      <c r="B17" s="5" t="s">
        <v>212</v>
      </c>
      <c r="D17" s="361">
        <f t="shared" ref="D17:N17" si="0">SUM(D12:D16)</f>
        <v>1138095.5676999998</v>
      </c>
      <c r="E17" s="361">
        <f t="shared" si="0"/>
        <v>1425760.4560000002</v>
      </c>
      <c r="F17" s="361">
        <f t="shared" si="0"/>
        <v>1750450.8130000001</v>
      </c>
      <c r="G17" s="361">
        <f t="shared" si="0"/>
        <v>1724696.4379999996</v>
      </c>
      <c r="H17" s="361">
        <f t="shared" si="0"/>
        <v>1816942.2657399999</v>
      </c>
      <c r="I17" s="361">
        <f t="shared" si="0"/>
        <v>2287411.2923700004</v>
      </c>
      <c r="J17" s="361">
        <f t="shared" si="0"/>
        <v>2730996.5</v>
      </c>
      <c r="K17" s="361">
        <f t="shared" si="0"/>
        <v>3731660.9660000005</v>
      </c>
      <c r="L17" s="361">
        <f t="shared" si="0"/>
        <v>4675601.83</v>
      </c>
      <c r="M17" s="40">
        <f t="shared" si="0"/>
        <v>0</v>
      </c>
      <c r="N17" s="40" t="e">
        <f t="shared" si="0"/>
        <v>#DIV/0!</v>
      </c>
      <c r="O17" s="40" t="e">
        <f>SUM(O12:O16)</f>
        <v>#DIV/0!</v>
      </c>
      <c r="P17" s="40" t="e">
        <f>SUM(P12:P16)</f>
        <v>#DIV/0!</v>
      </c>
      <c r="Q17" s="40" t="e">
        <f>SUM(Q12:Q16)</f>
        <v>#DIV/0!</v>
      </c>
      <c r="R17" s="40" t="e">
        <f>SUM(R12:R16)</f>
        <v>#DIV/0!</v>
      </c>
      <c r="S17" s="40" t="e">
        <f>SUM(S12:S16)</f>
        <v>#DIV/0!</v>
      </c>
    </row>
    <row r="18" spans="2:19">
      <c r="B18" s="3" t="s">
        <v>238</v>
      </c>
      <c r="D18" s="359">
        <v>-53622.389269999992</v>
      </c>
      <c r="E18" s="359">
        <v>-26319.316999999999</v>
      </c>
      <c r="F18" s="359">
        <v>-231374</v>
      </c>
      <c r="G18" s="359">
        <v>-21239.615000000002</v>
      </c>
      <c r="H18" s="359">
        <v>111154.431</v>
      </c>
      <c r="I18" s="359">
        <v>-130808.53167</v>
      </c>
      <c r="J18" s="359">
        <v>-116290</v>
      </c>
      <c r="K18" s="359">
        <v>-531607.01642</v>
      </c>
      <c r="L18" s="359">
        <v>-571925</v>
      </c>
      <c r="M18" s="11">
        <v>0</v>
      </c>
      <c r="N18" s="11">
        <v>0</v>
      </c>
      <c r="O18" s="11">
        <v>0</v>
      </c>
      <c r="P18" s="11">
        <v>0</v>
      </c>
      <c r="Q18" s="11">
        <v>0</v>
      </c>
      <c r="R18" s="11">
        <v>0</v>
      </c>
      <c r="S18" s="11">
        <v>0</v>
      </c>
    </row>
    <row r="19" spans="2:19">
      <c r="B19" s="3" t="s">
        <v>239</v>
      </c>
      <c r="D19" s="359">
        <v>0</v>
      </c>
      <c r="E19" s="359">
        <v>4891.625</v>
      </c>
      <c r="F19" s="362">
        <v>26715.125</v>
      </c>
      <c r="G19" s="362">
        <v>524.22799999999995</v>
      </c>
      <c r="H19" s="362">
        <v>60.536000000000001</v>
      </c>
      <c r="I19" s="362">
        <f>6538774.38/1000</f>
        <v>6538.7743799999998</v>
      </c>
      <c r="J19" s="362">
        <v>0</v>
      </c>
      <c r="K19" s="362">
        <v>0</v>
      </c>
      <c r="L19" s="362">
        <v>0</v>
      </c>
      <c r="M19" s="271">
        <v>0</v>
      </c>
      <c r="N19" s="271">
        <v>0</v>
      </c>
      <c r="O19" s="271">
        <v>0</v>
      </c>
      <c r="P19" s="271">
        <v>0</v>
      </c>
      <c r="Q19" s="271">
        <v>0</v>
      </c>
      <c r="R19" s="271">
        <v>0</v>
      </c>
      <c r="S19" s="271">
        <v>0</v>
      </c>
    </row>
    <row r="20" spans="2:19">
      <c r="B20" s="34" t="s">
        <v>240</v>
      </c>
      <c r="C20" s="136"/>
      <c r="D20" s="363">
        <f>D17+D18+D19</f>
        <v>1084473.1784299999</v>
      </c>
      <c r="E20" s="363">
        <f>E17+E18+E19</f>
        <v>1404332.7640000002</v>
      </c>
      <c r="F20" s="363">
        <f t="shared" ref="F20:N20" si="1">F17+F18+F19</f>
        <v>1545791.9380000001</v>
      </c>
      <c r="G20" s="363">
        <f>G17+G18+G19</f>
        <v>1703981.0509999995</v>
      </c>
      <c r="H20" s="363">
        <f>H17+H18+H19</f>
        <v>1928157.2327400001</v>
      </c>
      <c r="I20" s="363">
        <f t="shared" si="1"/>
        <v>2163141.5350800003</v>
      </c>
      <c r="J20" s="363">
        <f t="shared" si="1"/>
        <v>2614706.5</v>
      </c>
      <c r="K20" s="363">
        <f t="shared" si="1"/>
        <v>3200053.9495800007</v>
      </c>
      <c r="L20" s="363">
        <f t="shared" si="1"/>
        <v>4103676.83</v>
      </c>
      <c r="M20" s="49">
        <f t="shared" si="1"/>
        <v>0</v>
      </c>
      <c r="N20" s="49" t="e">
        <f t="shared" si="1"/>
        <v>#DIV/0!</v>
      </c>
      <c r="O20" s="49" t="e">
        <f>O17+O18+O19</f>
        <v>#DIV/0!</v>
      </c>
      <c r="P20" s="49" t="e">
        <f>P17+P18+P19</f>
        <v>#DIV/0!</v>
      </c>
      <c r="Q20" s="49" t="e">
        <f>Q17+Q18+Q19</f>
        <v>#DIV/0!</v>
      </c>
      <c r="R20" s="49" t="e">
        <f>R17+R18+R19</f>
        <v>#DIV/0!</v>
      </c>
      <c r="S20" s="49" t="e">
        <f>S17+S18+S19</f>
        <v>#DIV/0!</v>
      </c>
    </row>
    <row r="21" spans="2:19">
      <c r="D21" s="359"/>
      <c r="E21" s="359"/>
      <c r="F21" s="359"/>
      <c r="G21" s="359"/>
      <c r="H21" s="359"/>
      <c r="I21" s="359"/>
      <c r="J21" s="359"/>
      <c r="K21" s="359"/>
      <c r="L21" s="359"/>
      <c r="M21" s="11"/>
      <c r="N21" s="11"/>
      <c r="O21" s="11"/>
      <c r="P21" s="11"/>
      <c r="Q21" s="11"/>
      <c r="R21" s="11"/>
      <c r="S21" s="11"/>
    </row>
    <row r="22" spans="2:19">
      <c r="B22" s="5" t="s">
        <v>241</v>
      </c>
      <c r="D22" s="359"/>
      <c r="E22" s="359"/>
      <c r="F22" s="359"/>
      <c r="G22" s="359"/>
      <c r="H22" s="359"/>
      <c r="I22" s="359"/>
      <c r="J22" s="359"/>
      <c r="K22" s="359"/>
      <c r="L22" s="359"/>
      <c r="M22" s="11"/>
      <c r="N22" s="11"/>
      <c r="O22" s="11"/>
      <c r="P22" s="11"/>
      <c r="Q22" s="11"/>
      <c r="R22" s="11"/>
      <c r="S22" s="11"/>
    </row>
    <row r="23" spans="2:19">
      <c r="B23" s="5" t="s">
        <v>242</v>
      </c>
      <c r="C23" s="58"/>
      <c r="D23" s="361">
        <v>-49246.624759999984</v>
      </c>
      <c r="E23" s="361">
        <v>-68326.418999999994</v>
      </c>
      <c r="F23" s="361">
        <f>-64041596.65/1000</f>
        <v>-64041.596649999999</v>
      </c>
      <c r="G23" s="361">
        <v>-102035.05884</v>
      </c>
      <c r="H23" s="361">
        <v>-70103.740080000003</v>
      </c>
      <c r="I23" s="361">
        <v>-63965.515249999997</v>
      </c>
      <c r="J23" s="361">
        <v>-78805</v>
      </c>
      <c r="K23" s="361">
        <v>-102506.36778999997</v>
      </c>
      <c r="L23" s="361">
        <v>-122261</v>
      </c>
      <c r="M23" s="40">
        <f>Assumptions!N134*IS!M17</f>
        <v>0</v>
      </c>
      <c r="N23" s="40" t="e">
        <f>Assumptions!O134*IS!N17</f>
        <v>#DIV/0!</v>
      </c>
      <c r="O23" s="40" t="e">
        <f>Assumptions!P134*IS!O17</f>
        <v>#DIV/0!</v>
      </c>
      <c r="P23" s="40" t="e">
        <f>Assumptions!Q134*IS!P17</f>
        <v>#DIV/0!</v>
      </c>
      <c r="Q23" s="40" t="e">
        <f>Assumptions!R134*IS!Q17</f>
        <v>#DIV/0!</v>
      </c>
      <c r="R23" s="40" t="e">
        <f>Assumptions!S134*IS!R17</f>
        <v>#DIV/0!</v>
      </c>
      <c r="S23" s="40" t="e">
        <f>Assumptions!T134*IS!S17</f>
        <v>#DIV/0!</v>
      </c>
    </row>
    <row r="24" spans="2:19">
      <c r="B24" s="251" t="s">
        <v>243</v>
      </c>
      <c r="D24" s="364">
        <f>D23/D17</f>
        <v>-4.3271080353580044E-2</v>
      </c>
      <c r="E24" s="364">
        <f t="shared" ref="E24:S24" si="2">E23/E17</f>
        <v>-4.7922790053871421E-2</v>
      </c>
      <c r="F24" s="364">
        <f t="shared" si="2"/>
        <v>-3.6585773318727352E-2</v>
      </c>
      <c r="G24" s="364">
        <f t="shared" si="2"/>
        <v>-5.9161169810452184E-2</v>
      </c>
      <c r="H24" s="364">
        <f t="shared" si="2"/>
        <v>-3.8583361398909569E-2</v>
      </c>
      <c r="I24" s="364">
        <f t="shared" si="2"/>
        <v>-2.7964151205935924E-2</v>
      </c>
      <c r="J24" s="364">
        <f>J23/J17</f>
        <v>-2.8855767482675279E-2</v>
      </c>
      <c r="K24" s="364">
        <f t="shared" si="2"/>
        <v>-2.7469367856286644E-2</v>
      </c>
      <c r="L24" s="364">
        <f t="shared" si="2"/>
        <v>-2.6148719340372061E-2</v>
      </c>
      <c r="M24" s="252" t="e">
        <f t="shared" si="2"/>
        <v>#DIV/0!</v>
      </c>
      <c r="N24" s="252" t="e">
        <f t="shared" si="2"/>
        <v>#DIV/0!</v>
      </c>
      <c r="O24" s="252" t="e">
        <f t="shared" si="2"/>
        <v>#DIV/0!</v>
      </c>
      <c r="P24" s="252" t="e">
        <f t="shared" si="2"/>
        <v>#DIV/0!</v>
      </c>
      <c r="Q24" s="252" t="e">
        <f t="shared" si="2"/>
        <v>#DIV/0!</v>
      </c>
      <c r="R24" s="252" t="e">
        <f t="shared" si="2"/>
        <v>#DIV/0!</v>
      </c>
      <c r="S24" s="252" t="e">
        <f t="shared" si="2"/>
        <v>#DIV/0!</v>
      </c>
    </row>
    <row r="25" spans="2:19">
      <c r="B25" s="251"/>
      <c r="D25" s="364"/>
      <c r="E25" s="364"/>
      <c r="F25" s="364"/>
      <c r="G25" s="364"/>
      <c r="H25" s="364"/>
      <c r="I25" s="364"/>
      <c r="J25" s="364"/>
      <c r="K25" s="364"/>
      <c r="L25" s="364"/>
      <c r="M25" s="252"/>
      <c r="N25" s="252"/>
      <c r="O25" s="252"/>
      <c r="P25" s="252"/>
      <c r="Q25" s="252"/>
      <c r="R25" s="252"/>
      <c r="S25" s="252"/>
    </row>
    <row r="26" spans="2:19">
      <c r="B26" s="5" t="s">
        <v>244</v>
      </c>
      <c r="C26" s="35"/>
      <c r="D26" s="359"/>
      <c r="E26" s="359"/>
      <c r="F26" s="359"/>
      <c r="G26" s="365"/>
      <c r="H26" s="365"/>
      <c r="I26" s="365"/>
      <c r="J26" s="365"/>
      <c r="K26" s="365"/>
      <c r="L26" s="365"/>
      <c r="M26" s="31"/>
      <c r="N26" s="31"/>
      <c r="O26" s="31"/>
      <c r="P26" s="31"/>
      <c r="Q26" s="31"/>
      <c r="R26" s="31"/>
      <c r="S26" s="31"/>
    </row>
    <row r="27" spans="2:19">
      <c r="B27" s="3" t="s">
        <v>244</v>
      </c>
      <c r="C27" s="35"/>
      <c r="D27" s="359">
        <f>D17+D23+D19</f>
        <v>1088848.9429399997</v>
      </c>
      <c r="E27" s="359">
        <f t="shared" ref="E27:F27" si="3">E17+E23+E19</f>
        <v>1362325.6620000002</v>
      </c>
      <c r="F27" s="359">
        <f t="shared" si="3"/>
        <v>1713124.3413500001</v>
      </c>
      <c r="G27" s="359">
        <f>G17+G23+G19+G18</f>
        <v>1601945.9921599994</v>
      </c>
      <c r="H27" s="359">
        <f t="shared" ref="H27:S27" si="4">H17+H23+H19+H18</f>
        <v>1858053.4926600002</v>
      </c>
      <c r="I27" s="359">
        <f t="shared" si="4"/>
        <v>2099176.0198300001</v>
      </c>
      <c r="J27" s="359">
        <f t="shared" si="4"/>
        <v>2535901.5</v>
      </c>
      <c r="K27" s="359">
        <f t="shared" si="4"/>
        <v>3097547.5817900002</v>
      </c>
      <c r="L27" s="359">
        <f t="shared" si="4"/>
        <v>3981415.83</v>
      </c>
      <c r="M27" s="11">
        <f t="shared" si="4"/>
        <v>0</v>
      </c>
      <c r="N27" s="11" t="e">
        <f t="shared" si="4"/>
        <v>#DIV/0!</v>
      </c>
      <c r="O27" s="11" t="e">
        <f t="shared" si="4"/>
        <v>#DIV/0!</v>
      </c>
      <c r="P27" s="11" t="e">
        <f t="shared" si="4"/>
        <v>#DIV/0!</v>
      </c>
      <c r="Q27" s="11" t="e">
        <f t="shared" si="4"/>
        <v>#DIV/0!</v>
      </c>
      <c r="R27" s="11" t="e">
        <f t="shared" si="4"/>
        <v>#DIV/0!</v>
      </c>
      <c r="S27" s="11" t="e">
        <f t="shared" si="4"/>
        <v>#DIV/0!</v>
      </c>
    </row>
    <row r="28" spans="2:19">
      <c r="B28" s="3" t="s">
        <v>159</v>
      </c>
      <c r="D28" s="359">
        <f>146291165.92/1000</f>
        <v>146291.16592</v>
      </c>
      <c r="E28" s="359">
        <v>163170.557</v>
      </c>
      <c r="F28" s="359">
        <v>279831</v>
      </c>
      <c r="G28" s="359">
        <v>57704.252999999997</v>
      </c>
      <c r="H28" s="359">
        <v>361845.25199999998</v>
      </c>
      <c r="I28" s="359">
        <f>Assumptions!J219</f>
        <v>724291</v>
      </c>
      <c r="J28" s="359">
        <f>Assumptions!K219</f>
        <v>504751</v>
      </c>
      <c r="K28" s="359">
        <f>Assumptions!L219</f>
        <v>775533.05365000013</v>
      </c>
      <c r="L28" s="359">
        <f>Assumptions!M219</f>
        <v>1767201</v>
      </c>
      <c r="M28" s="435">
        <f>Assumptions!N219</f>
        <v>0</v>
      </c>
      <c r="N28" s="435">
        <f>Assumptions!O219</f>
        <v>0</v>
      </c>
      <c r="O28" s="435">
        <f>Assumptions!P219</f>
        <v>0</v>
      </c>
      <c r="P28" s="435">
        <f>Assumptions!Q219</f>
        <v>0</v>
      </c>
      <c r="Q28" s="435">
        <f>Assumptions!R219</f>
        <v>0</v>
      </c>
      <c r="R28" s="435">
        <f>Assumptions!S219</f>
        <v>0</v>
      </c>
      <c r="S28" s="435">
        <f>Assumptions!T219</f>
        <v>0</v>
      </c>
    </row>
    <row r="29" spans="2:19">
      <c r="B29" s="389" t="s">
        <v>245</v>
      </c>
      <c r="C29" s="390"/>
      <c r="D29" s="391">
        <f t="shared" ref="D29:F29" si="5">D27+D28</f>
        <v>1235140.1088599998</v>
      </c>
      <c r="E29" s="391">
        <f t="shared" si="5"/>
        <v>1525496.2190000003</v>
      </c>
      <c r="F29" s="391">
        <f t="shared" si="5"/>
        <v>1992955.3413500001</v>
      </c>
      <c r="G29" s="391">
        <f>G27+G28</f>
        <v>1659650.2451599995</v>
      </c>
      <c r="H29" s="391">
        <f t="shared" ref="H29:S29" si="6">H27+H28</f>
        <v>2219898.7446600003</v>
      </c>
      <c r="I29" s="391">
        <f t="shared" si="6"/>
        <v>2823467.0198300001</v>
      </c>
      <c r="J29" s="391">
        <f t="shared" si="6"/>
        <v>3040652.5</v>
      </c>
      <c r="K29" s="391">
        <f t="shared" si="6"/>
        <v>3873080.6354400003</v>
      </c>
      <c r="L29" s="391">
        <f t="shared" si="6"/>
        <v>5748616.8300000001</v>
      </c>
      <c r="M29" s="391">
        <f t="shared" si="6"/>
        <v>0</v>
      </c>
      <c r="N29" s="391" t="e">
        <f t="shared" si="6"/>
        <v>#DIV/0!</v>
      </c>
      <c r="O29" s="391" t="e">
        <f t="shared" si="6"/>
        <v>#DIV/0!</v>
      </c>
      <c r="P29" s="391" t="e">
        <f t="shared" si="6"/>
        <v>#DIV/0!</v>
      </c>
      <c r="Q29" s="391" t="e">
        <f t="shared" si="6"/>
        <v>#DIV/0!</v>
      </c>
      <c r="R29" s="391" t="e">
        <f t="shared" si="6"/>
        <v>#DIV/0!</v>
      </c>
      <c r="S29" s="391" t="e">
        <f t="shared" si="6"/>
        <v>#DIV/0!</v>
      </c>
    </row>
    <row r="30" spans="2:19">
      <c r="B30" s="5"/>
      <c r="D30" s="359"/>
      <c r="E30" s="359"/>
      <c r="F30" s="359"/>
      <c r="G30" s="359"/>
      <c r="H30" s="359"/>
      <c r="I30" s="359"/>
      <c r="J30" s="359"/>
      <c r="K30" s="359"/>
      <c r="L30" s="359"/>
      <c r="M30" s="11"/>
      <c r="N30" s="11"/>
      <c r="O30" s="11"/>
      <c r="P30" s="11"/>
      <c r="Q30" s="11"/>
      <c r="R30" s="11"/>
      <c r="S30" s="11"/>
    </row>
    <row r="31" spans="2:19">
      <c r="B31" s="5" t="s">
        <v>246</v>
      </c>
      <c r="D31" s="359"/>
      <c r="E31" s="359"/>
      <c r="F31" s="359"/>
      <c r="G31" s="365"/>
      <c r="H31" s="365"/>
      <c r="I31" s="365"/>
      <c r="J31" s="365"/>
      <c r="K31" s="365"/>
      <c r="L31" s="365"/>
      <c r="M31" s="31"/>
      <c r="N31" s="31"/>
      <c r="O31" s="31"/>
      <c r="P31" s="31"/>
      <c r="Q31" s="31"/>
      <c r="R31" s="31"/>
      <c r="S31" s="31"/>
    </row>
    <row r="32" spans="2:19">
      <c r="B32" s="3" t="s">
        <v>89</v>
      </c>
      <c r="D32" s="359">
        <f>-259742+47364.153</f>
        <v>-212377.84700000001</v>
      </c>
      <c r="E32" s="359">
        <f>-366834.9307+39960.242</f>
        <v>-326874.68870000006</v>
      </c>
      <c r="F32" s="359">
        <f>-419780.88155+45560.141</f>
        <v>-374220.74054999999</v>
      </c>
      <c r="G32" s="359">
        <f>-463229.03272+39214.846</f>
        <v>-424014.18672</v>
      </c>
      <c r="H32" s="359">
        <f>-506505.27109+40508.428</f>
        <v>-465996.84308999998</v>
      </c>
      <c r="I32" s="359">
        <v>-521214.68837110227</v>
      </c>
      <c r="J32" s="359">
        <v>-601677</v>
      </c>
      <c r="K32" s="359">
        <v>-663406.19750580261</v>
      </c>
      <c r="L32" s="359">
        <v>-814301.78600372502</v>
      </c>
      <c r="M32" s="11">
        <f>-Costs!L147/1000</f>
        <v>-1448247.117897037</v>
      </c>
      <c r="N32" s="11" t="e">
        <f>-Costs!M147/1000</f>
        <v>#DIV/0!</v>
      </c>
      <c r="O32" s="11" t="e">
        <f>-Costs!N147/1000</f>
        <v>#DIV/0!</v>
      </c>
      <c r="P32" s="11" t="e">
        <f>-Costs!O147/1000</f>
        <v>#DIV/0!</v>
      </c>
      <c r="Q32" s="11" t="e">
        <f>-Costs!P147/1000</f>
        <v>#DIV/0!</v>
      </c>
      <c r="R32" s="11" t="e">
        <f>-Costs!Q147/1000</f>
        <v>#DIV/0!</v>
      </c>
      <c r="S32" s="11" t="e">
        <f>-Costs!R147/1000</f>
        <v>#DIV/0!</v>
      </c>
    </row>
    <row r="33" spans="1:25">
      <c r="B33" s="3" t="s">
        <v>93</v>
      </c>
      <c r="D33" s="359">
        <f>-90678.8868180866+9685.471</f>
        <v>-80993.415818086592</v>
      </c>
      <c r="E33" s="359">
        <f>-90674.11241+7133.013</f>
        <v>-83541.099409999995</v>
      </c>
      <c r="F33" s="359">
        <f>-81088.15996+5717.344</f>
        <v>-75370.815960000007</v>
      </c>
      <c r="G33" s="359">
        <f>-106401.20849+5904.819</f>
        <v>-100496.38949</v>
      </c>
      <c r="H33" s="359">
        <f>-128920.00212+6450.016</f>
        <v>-122469.98612</v>
      </c>
      <c r="I33" s="359">
        <v>-129703.7091670722</v>
      </c>
      <c r="J33" s="359">
        <v>-190269</v>
      </c>
      <c r="K33" s="359">
        <v>-218475.61148649579</v>
      </c>
      <c r="L33" s="359">
        <v>-329986.81806371326</v>
      </c>
      <c r="M33" s="11">
        <f>-Costs!L189/1000</f>
        <v>-484657.30264082062</v>
      </c>
      <c r="N33" s="11" t="e">
        <f>-Costs!M189/1000</f>
        <v>#DIV/0!</v>
      </c>
      <c r="O33" s="11" t="e">
        <f>-Costs!N189/1000</f>
        <v>#DIV/0!</v>
      </c>
      <c r="P33" s="11" t="e">
        <f>-Costs!O189/1000</f>
        <v>#DIV/0!</v>
      </c>
      <c r="Q33" s="11" t="e">
        <f>-Costs!P189/1000</f>
        <v>#DIV/0!</v>
      </c>
      <c r="R33" s="11" t="e">
        <f>-Costs!Q189/1000</f>
        <v>#DIV/0!</v>
      </c>
      <c r="S33" s="11" t="e">
        <f>-Costs!R189/1000</f>
        <v>#DIV/0!</v>
      </c>
    </row>
    <row r="34" spans="1:25">
      <c r="B34" s="3" t="s">
        <v>114</v>
      </c>
      <c r="D34" s="359">
        <f>-379092.174814627+42305.771</f>
        <v>-336786.40381462697</v>
      </c>
      <c r="E34" s="359">
        <f>-424042.76965+36292.218</f>
        <v>-387750.55164999998</v>
      </c>
      <c r="F34" s="359">
        <f>-501325.82401+36262.516</f>
        <v>-465063.30800999998</v>
      </c>
      <c r="G34" s="359">
        <f>-629115.56572+36974.564</f>
        <v>-592141.00171999994</v>
      </c>
      <c r="H34" s="359">
        <f>-481840.68178+25826.171</f>
        <v>-456014.51078000001</v>
      </c>
      <c r="I34" s="359">
        <v>-530998.8598874422</v>
      </c>
      <c r="J34" s="359">
        <v>-729286</v>
      </c>
      <c r="K34" s="359">
        <v>-904553.09604985849</v>
      </c>
      <c r="L34" s="359">
        <v>-879222.83021968603</v>
      </c>
      <c r="M34" s="11">
        <f>(-Costs!L168/1000)-M35</f>
        <v>-1530976.9475753824</v>
      </c>
      <c r="N34" s="11" t="e">
        <f>(-Costs!M168/1000)-N35</f>
        <v>#DIV/0!</v>
      </c>
      <c r="O34" s="11" t="e">
        <f>(-Costs!N168/1000)-O35</f>
        <v>#DIV/0!</v>
      </c>
      <c r="P34" s="11" t="e">
        <f>(-Costs!O168/1000)-P35</f>
        <v>#DIV/0!</v>
      </c>
      <c r="Q34" s="11" t="e">
        <f>(-Costs!P168/1000)-Q35</f>
        <v>#DIV/0!</v>
      </c>
      <c r="R34" s="11" t="e">
        <f>(-Costs!Q168/1000)-R35</f>
        <v>#DIV/0!</v>
      </c>
      <c r="S34" s="11" t="e">
        <f>(-Costs!R168/1000)-S35</f>
        <v>#DIV/0!</v>
      </c>
    </row>
    <row r="35" spans="1:25">
      <c r="B35" s="3" t="s">
        <v>118</v>
      </c>
      <c r="D35" s="359">
        <f>-58920.2057866625+5985.066</f>
        <v>-52935.139786662497</v>
      </c>
      <c r="E35" s="359">
        <f>-61890.7896+4776.016</f>
        <v>-57114.7736</v>
      </c>
      <c r="F35" s="359">
        <f>-64079.35502+4254.467</f>
        <v>-59824.888020000006</v>
      </c>
      <c r="G35" s="359">
        <f>-97913.43509+5157.116</f>
        <v>-92756.319090000005</v>
      </c>
      <c r="H35" s="359">
        <f>-75483.03527+3603.341</f>
        <v>-71879.694269999993</v>
      </c>
      <c r="I35" s="359">
        <v>-50719.263185122029</v>
      </c>
      <c r="J35" s="359">
        <v>-58687</v>
      </c>
      <c r="K35" s="359">
        <v>-93996.609853657137</v>
      </c>
      <c r="L35" s="359">
        <v>-110512.28427273215</v>
      </c>
      <c r="M35" s="11">
        <f>(-Costs!L168*14%)/1000</f>
        <v>-249228.80541924835</v>
      </c>
      <c r="N35" s="11" t="e">
        <f>(-Costs!M168*14%)/1000</f>
        <v>#DIV/0!</v>
      </c>
      <c r="O35" s="11" t="e">
        <f>(-Costs!N168*14%)/1000</f>
        <v>#DIV/0!</v>
      </c>
      <c r="P35" s="11" t="e">
        <f>(-Costs!O168*14%)/1000</f>
        <v>#DIV/0!</v>
      </c>
      <c r="Q35" s="11" t="e">
        <f>(-Costs!P168*14%)/1000</f>
        <v>#DIV/0!</v>
      </c>
      <c r="R35" s="11" t="e">
        <f>(-Costs!Q168*14%)/1000</f>
        <v>#DIV/0!</v>
      </c>
      <c r="S35" s="11" t="e">
        <f>(-Costs!R168*14%)/1000</f>
        <v>#DIV/0!</v>
      </c>
    </row>
    <row r="36" spans="1:25">
      <c r="B36" s="3" t="s">
        <v>188</v>
      </c>
      <c r="D36" s="359">
        <f>-17774.849+4311.48</f>
        <v>-13463.368999999999</v>
      </c>
      <c r="E36" s="359">
        <f>-30046.799+4985.861</f>
        <v>-25060.937999999998</v>
      </c>
      <c r="F36" s="359">
        <f>-34915.613+6906.026</f>
        <v>-28009.587</v>
      </c>
      <c r="G36" s="359">
        <f>-31589.63+9395.784</f>
        <v>-22193.846000000001</v>
      </c>
      <c r="H36" s="359">
        <f>-22554.65592+7976.657</f>
        <v>-14577.998920000002</v>
      </c>
      <c r="I36" s="359">
        <v>-22633.308496310219</v>
      </c>
      <c r="J36" s="359">
        <v>-57354</v>
      </c>
      <c r="K36" s="359">
        <v>-62332.53380397</v>
      </c>
      <c r="L36" s="359">
        <v>-103464.40355524112</v>
      </c>
      <c r="M36" s="11">
        <f>SUM(M12:M15)*Assumptions!N140</f>
        <v>0</v>
      </c>
      <c r="N36" s="11" t="e">
        <f>SUM(N12:N15)*Assumptions!O140</f>
        <v>#DIV/0!</v>
      </c>
      <c r="O36" s="11" t="e">
        <f>SUM(O12:O15)*Assumptions!P140</f>
        <v>#DIV/0!</v>
      </c>
      <c r="P36" s="11" t="e">
        <f>SUM(P12:P15)*Assumptions!Q140</f>
        <v>#DIV/0!</v>
      </c>
      <c r="Q36" s="11" t="e">
        <f>SUM(Q12:Q15)*Assumptions!R140</f>
        <v>#DIV/0!</v>
      </c>
      <c r="R36" s="11" t="e">
        <f>SUM(R12:R15)*Assumptions!S140</f>
        <v>#DIV/0!</v>
      </c>
      <c r="S36" s="11" t="e">
        <f>SUM(S12:S15)*Assumptions!T140</f>
        <v>#DIV/0!</v>
      </c>
    </row>
    <row r="37" spans="1:25">
      <c r="B37" s="3" t="s">
        <v>159</v>
      </c>
      <c r="D37" s="359">
        <v>-114026.01609</v>
      </c>
      <c r="E37" s="359">
        <v>-192599.46647000001</v>
      </c>
      <c r="F37" s="359">
        <v>-227270.20925000001</v>
      </c>
      <c r="G37" s="359">
        <v>-84932.437999999995</v>
      </c>
      <c r="H37" s="359">
        <v>-327300.47373000003</v>
      </c>
      <c r="I37" s="359">
        <f>Assumptions!J220</f>
        <v>-619276</v>
      </c>
      <c r="J37" s="359">
        <f>Assumptions!K220</f>
        <v>-524266</v>
      </c>
      <c r="K37" s="359">
        <f>Assumptions!L220</f>
        <v>-750996.04168999987</v>
      </c>
      <c r="L37" s="359">
        <f>Assumptions!M220</f>
        <v>-1351521.64</v>
      </c>
      <c r="M37" s="11">
        <f>Assumptions!N220</f>
        <v>0</v>
      </c>
      <c r="N37" s="11">
        <f>Assumptions!O220</f>
        <v>0</v>
      </c>
      <c r="O37" s="11">
        <f>Assumptions!P220</f>
        <v>0</v>
      </c>
      <c r="P37" s="11">
        <f>Assumptions!Q220</f>
        <v>0</v>
      </c>
      <c r="Q37" s="11">
        <f>Assumptions!R220</f>
        <v>0</v>
      </c>
      <c r="R37" s="11">
        <f>Assumptions!S220</f>
        <v>0</v>
      </c>
      <c r="S37" s="11">
        <f>Assumptions!T220</f>
        <v>0</v>
      </c>
    </row>
    <row r="38" spans="1:25" ht="12" thickBot="1">
      <c r="B38" s="232" t="s">
        <v>247</v>
      </c>
      <c r="C38" s="127"/>
      <c r="D38" s="367">
        <v>0</v>
      </c>
      <c r="E38" s="367">
        <v>0</v>
      </c>
      <c r="F38" s="367">
        <v>0</v>
      </c>
      <c r="G38" s="367">
        <v>0</v>
      </c>
      <c r="H38" s="367">
        <v>0</v>
      </c>
      <c r="I38" s="367">
        <v>0</v>
      </c>
      <c r="J38" s="367">
        <f>(-IF(Assumptions!K31&gt;Assumptions!$J$31,((Assumptions!K31-Assumptions!$J$31)*Assumptions!K24)*((Assumptions!K54+Assumptions!K67-Assumptions!K118)*2.2046)*Assumptions!K127)/1000)*90.75%</f>
        <v>0</v>
      </c>
      <c r="K38" s="367">
        <f>(-IF(Assumptions!L31&gt;Assumptions!$J$31,((Assumptions!L31-Assumptions!$J$31)*Assumptions!L24)*((Assumptions!L54+Assumptions!L67-Assumptions!L118)*2.2046)*Assumptions!L127)/1000)*90.75%</f>
        <v>0</v>
      </c>
      <c r="L38" s="367">
        <f>(-IF(Assumptions!M31&gt;Assumptions!$J$31,((Assumptions!M31-Assumptions!$J$31)*Assumptions!M24)*((Assumptions!M54+Assumptions!M67-Assumptions!M118)*2.2046)*Assumptions!M127)/1000)*90.75%</f>
        <v>0</v>
      </c>
      <c r="M38" s="290">
        <f>(-IF(Assumptions!N31&gt;Assumptions!$J$31,((Assumptions!N31-Assumptions!$J$31)*Assumptions!N24)*((Assumptions!N54+Assumptions!N67-Assumptions!N118)*2.2046)*Assumptions!N127)/1000)*90.75%</f>
        <v>0</v>
      </c>
      <c r="N38" s="290">
        <f>(-IF(Assumptions!O31&gt;Assumptions!$J$31,((Assumptions!O31-Assumptions!$J$31)*Assumptions!O24)*((Assumptions!O54+Assumptions!O67-Assumptions!O118)*2.2046)*Assumptions!O127)/1000)*90.75%</f>
        <v>0</v>
      </c>
      <c r="O38" s="290">
        <f>(-IF(Assumptions!P31&gt;Assumptions!$J$31,((Assumptions!P31-Assumptions!$J$31)*Assumptions!P24)*((Assumptions!P54+Assumptions!P67-Assumptions!P118)*2.2046)*Assumptions!P127)/1000)*90.75%</f>
        <v>0</v>
      </c>
      <c r="P38" s="290">
        <f>(-IF(Assumptions!Q31&gt;Assumptions!$J$31,((Assumptions!Q31-Assumptions!$J$31)*Assumptions!Q24)*((Assumptions!Q54+Assumptions!Q67-Assumptions!Q118)*2.2046)*Assumptions!Q127)/1000)*90.75%</f>
        <v>0</v>
      </c>
      <c r="Q38" s="290">
        <f>(-IF(Assumptions!R31&gt;Assumptions!$J$31,((Assumptions!R31-Assumptions!$J$31)*Assumptions!R24)*((Assumptions!R54+Assumptions!R67-Assumptions!R118)*2.2046)*Assumptions!R127)/1000)*90.75%</f>
        <v>0</v>
      </c>
      <c r="R38" s="290">
        <f>(-IF(Assumptions!S31&gt;Assumptions!$J$31,((Assumptions!S31-Assumptions!$J$31)*Assumptions!S24)*((Assumptions!S54+Assumptions!S67-Assumptions!S118)*2.2046)*Assumptions!S127)/1000)*90.75%</f>
        <v>0</v>
      </c>
      <c r="S38" s="290">
        <f>(-IF(Assumptions!T31&gt;Assumptions!$J$31,((Assumptions!T31-Assumptions!$J$31)*Assumptions!T24)*((Assumptions!T54+Assumptions!T67-Assumptions!T118)*2.2046)*Assumptions!T127)/1000)*90.75%</f>
        <v>0</v>
      </c>
    </row>
    <row r="39" spans="1:25" ht="12.75">
      <c r="A39"/>
      <c r="B39" s="5" t="s">
        <v>248</v>
      </c>
      <c r="D39" s="361">
        <f t="shared" ref="D39:N39" si="7">SUM(D32:D38)</f>
        <v>-810582.19150937605</v>
      </c>
      <c r="E39" s="361">
        <f t="shared" si="7"/>
        <v>-1072941.51783</v>
      </c>
      <c r="F39" s="361">
        <f t="shared" si="7"/>
        <v>-1229759.5487900001</v>
      </c>
      <c r="G39" s="361">
        <f t="shared" si="7"/>
        <v>-1316534.18102</v>
      </c>
      <c r="H39" s="361">
        <f t="shared" si="7"/>
        <v>-1458239.50691</v>
      </c>
      <c r="I39" s="361">
        <f t="shared" si="7"/>
        <v>-1874545.8291070487</v>
      </c>
      <c r="J39" s="361">
        <f t="shared" si="7"/>
        <v>-2161539</v>
      </c>
      <c r="K39" s="361">
        <f t="shared" si="7"/>
        <v>-2693760.0903897844</v>
      </c>
      <c r="L39" s="361">
        <f t="shared" si="7"/>
        <v>-3589009.7621150976</v>
      </c>
      <c r="M39" s="40">
        <f t="shared" si="7"/>
        <v>-3713110.1735324888</v>
      </c>
      <c r="N39" s="40" t="e">
        <f t="shared" si="7"/>
        <v>#DIV/0!</v>
      </c>
      <c r="O39" s="40" t="e">
        <f>SUM(O32:O38)</f>
        <v>#DIV/0!</v>
      </c>
      <c r="P39" s="40" t="e">
        <f>SUM(P32:P38)</f>
        <v>#DIV/0!</v>
      </c>
      <c r="Q39" s="40" t="e">
        <f>SUM(Q32:Q38)</f>
        <v>#DIV/0!</v>
      </c>
      <c r="R39" s="40" t="e">
        <f>SUM(R32:R38)</f>
        <v>#DIV/0!</v>
      </c>
      <c r="S39" s="40" t="e">
        <f>SUM(S32:S38)</f>
        <v>#DIV/0!</v>
      </c>
    </row>
    <row r="40" spans="1:25">
      <c r="B40" s="3" t="s">
        <v>39</v>
      </c>
      <c r="D40" s="359">
        <v>-109651.944</v>
      </c>
      <c r="E40" s="359">
        <v>-93147.351999999999</v>
      </c>
      <c r="F40" s="359">
        <v>-98700.497000000003</v>
      </c>
      <c r="G40" s="359">
        <v>-96647.130999999994</v>
      </c>
      <c r="H40" s="359">
        <v>-84364.615510000003</v>
      </c>
      <c r="I40" s="359">
        <v>-102963.5170129511</v>
      </c>
      <c r="J40" s="359">
        <v>-95930</v>
      </c>
      <c r="K40" s="359">
        <f>Assumptions!L179+Assumptions!L181</f>
        <v>-108808.78627021602</v>
      </c>
      <c r="L40" s="359">
        <v>-121018.76788490235</v>
      </c>
      <c r="M40" s="103">
        <f>Assumptions!N179+Assumptions!N181</f>
        <v>-93575.556192385775</v>
      </c>
      <c r="N40" s="103">
        <f>Assumptions!O179+Assumptions!O181</f>
        <v>-80474.978325451768</v>
      </c>
      <c r="O40" s="103" t="e">
        <f>Assumptions!P179+Assumptions!P181</f>
        <v>#DIV/0!</v>
      </c>
      <c r="P40" s="103" t="e">
        <f>Assumptions!Q179+Assumptions!Q181</f>
        <v>#DIV/0!</v>
      </c>
      <c r="Q40" s="103" t="e">
        <f>Assumptions!R179+Assumptions!R181</f>
        <v>#DIV/0!</v>
      </c>
      <c r="R40" s="103" t="e">
        <f>Assumptions!S179+Assumptions!S181</f>
        <v>#DIV/0!</v>
      </c>
      <c r="S40" s="103" t="e">
        <f>Assumptions!T179+Assumptions!T181</f>
        <v>#DIV/0!</v>
      </c>
    </row>
    <row r="41" spans="1:25">
      <c r="B41" s="34" t="s">
        <v>249</v>
      </c>
      <c r="C41" s="27"/>
      <c r="D41" s="363">
        <f t="shared" ref="D41:K41" si="8">D39+D40</f>
        <v>-920234.13550937606</v>
      </c>
      <c r="E41" s="363">
        <f t="shared" si="8"/>
        <v>-1166088.86983</v>
      </c>
      <c r="F41" s="363">
        <f t="shared" si="8"/>
        <v>-1328460.0457900001</v>
      </c>
      <c r="G41" s="363">
        <f>G39+G40</f>
        <v>-1413181.3120200001</v>
      </c>
      <c r="H41" s="363">
        <f>H39+H40</f>
        <v>-1542604.1224199999</v>
      </c>
      <c r="I41" s="363">
        <f>I39+I40</f>
        <v>-1977509.3461199999</v>
      </c>
      <c r="J41" s="363">
        <f t="shared" si="8"/>
        <v>-2257469</v>
      </c>
      <c r="K41" s="363">
        <f t="shared" si="8"/>
        <v>-2802568.8766600005</v>
      </c>
      <c r="L41" s="363">
        <f t="shared" ref="L41:S41" si="9">L39+L40</f>
        <v>-3710028.53</v>
      </c>
      <c r="M41" s="49">
        <f t="shared" si="9"/>
        <v>-3806685.7297248747</v>
      </c>
      <c r="N41" s="49" t="e">
        <f t="shared" si="9"/>
        <v>#DIV/0!</v>
      </c>
      <c r="O41" s="49" t="e">
        <f t="shared" si="9"/>
        <v>#DIV/0!</v>
      </c>
      <c r="P41" s="49" t="e">
        <f t="shared" si="9"/>
        <v>#DIV/0!</v>
      </c>
      <c r="Q41" s="49" t="e">
        <f t="shared" si="9"/>
        <v>#DIV/0!</v>
      </c>
      <c r="R41" s="49" t="e">
        <f t="shared" si="9"/>
        <v>#DIV/0!</v>
      </c>
      <c r="S41" s="49" t="e">
        <f t="shared" si="9"/>
        <v>#DIV/0!</v>
      </c>
    </row>
    <row r="42" spans="1:25">
      <c r="D42" s="359"/>
      <c r="E42" s="359"/>
      <c r="F42" s="359"/>
      <c r="G42" s="359"/>
      <c r="H42" s="359"/>
      <c r="I42" s="359"/>
      <c r="J42" s="359"/>
      <c r="K42" s="359"/>
      <c r="L42" s="359"/>
      <c r="M42" s="11"/>
      <c r="N42" s="11"/>
      <c r="O42" s="11"/>
      <c r="P42" s="11"/>
      <c r="Q42" s="11"/>
      <c r="R42" s="11"/>
      <c r="S42" s="11"/>
    </row>
    <row r="43" spans="1:25">
      <c r="B43" s="5" t="s">
        <v>250</v>
      </c>
      <c r="D43" s="361">
        <f>D29+D41</f>
        <v>314905.97335062374</v>
      </c>
      <c r="E43" s="361">
        <f>E29+E41</f>
        <v>359407.34917000029</v>
      </c>
      <c r="F43" s="361">
        <f>F29+F41</f>
        <v>664495.29556</v>
      </c>
      <c r="G43" s="361">
        <f>G29+G41</f>
        <v>246468.9331399994</v>
      </c>
      <c r="H43" s="361">
        <f>H29+H41</f>
        <v>677294.6222400004</v>
      </c>
      <c r="I43" s="361">
        <f t="shared" ref="I43:S43" si="10">I29+I41</f>
        <v>845957.67371000024</v>
      </c>
      <c r="J43" s="361">
        <f t="shared" si="10"/>
        <v>783183.5</v>
      </c>
      <c r="K43" s="361">
        <f t="shared" si="10"/>
        <v>1070511.7587799998</v>
      </c>
      <c r="L43" s="361">
        <f t="shared" si="10"/>
        <v>2038588.3000000003</v>
      </c>
      <c r="M43" s="40">
        <f t="shared" si="10"/>
        <v>-3806685.7297248747</v>
      </c>
      <c r="N43" s="40" t="e">
        <f t="shared" si="10"/>
        <v>#DIV/0!</v>
      </c>
      <c r="O43" s="40" t="e">
        <f t="shared" si="10"/>
        <v>#DIV/0!</v>
      </c>
      <c r="P43" s="40" t="e">
        <f t="shared" si="10"/>
        <v>#DIV/0!</v>
      </c>
      <c r="Q43" s="40" t="e">
        <f t="shared" si="10"/>
        <v>#DIV/0!</v>
      </c>
      <c r="R43" s="40" t="e">
        <f t="shared" si="10"/>
        <v>#DIV/0!</v>
      </c>
      <c r="S43" s="40" t="e">
        <f t="shared" si="10"/>
        <v>#DIV/0!</v>
      </c>
    </row>
    <row r="44" spans="1:25">
      <c r="B44" s="3" t="s">
        <v>251</v>
      </c>
      <c r="D44" s="368">
        <f t="shared" ref="D44:N44" si="11">D43/D29</f>
        <v>0.25495566947564618</v>
      </c>
      <c r="E44" s="368">
        <f t="shared" si="11"/>
        <v>0.23560028841343214</v>
      </c>
      <c r="F44" s="368">
        <f t="shared" si="11"/>
        <v>0.33342207011516883</v>
      </c>
      <c r="G44" s="368">
        <f t="shared" si="11"/>
        <v>0.14850655061737927</v>
      </c>
      <c r="H44" s="368">
        <f>H43/H29</f>
        <v>0.30510158351557376</v>
      </c>
      <c r="I44" s="368">
        <f>I43/I29</f>
        <v>0.29961663011064144</v>
      </c>
      <c r="J44" s="368">
        <f>J43/J29</f>
        <v>0.2575708667794166</v>
      </c>
      <c r="K44" s="368">
        <f t="shared" si="11"/>
        <v>0.27639800446818857</v>
      </c>
      <c r="L44" s="368">
        <f t="shared" si="11"/>
        <v>0.35462240053317318</v>
      </c>
      <c r="M44" s="33" t="e">
        <f t="shared" si="11"/>
        <v>#DIV/0!</v>
      </c>
      <c r="N44" s="33" t="e">
        <f t="shared" si="11"/>
        <v>#DIV/0!</v>
      </c>
      <c r="O44" s="33" t="e">
        <f>O43/O29</f>
        <v>#DIV/0!</v>
      </c>
      <c r="P44" s="33" t="e">
        <f>P43/P29</f>
        <v>#DIV/0!</v>
      </c>
      <c r="Q44" s="33" t="e">
        <f>Q43/Q29</f>
        <v>#DIV/0!</v>
      </c>
      <c r="R44" s="33" t="e">
        <f>R43/R29</f>
        <v>#DIV/0!</v>
      </c>
      <c r="S44" s="33" t="e">
        <f>S43/S29</f>
        <v>#DIV/0!</v>
      </c>
    </row>
    <row r="45" spans="1:25">
      <c r="B45" s="5"/>
      <c r="D45" s="359"/>
      <c r="E45" s="359"/>
      <c r="F45" s="359"/>
      <c r="G45" s="359"/>
      <c r="H45" s="359"/>
      <c r="I45" s="359"/>
      <c r="J45" s="359"/>
      <c r="K45" s="359"/>
      <c r="L45" s="359"/>
      <c r="M45" s="11"/>
      <c r="N45" s="11"/>
      <c r="O45" s="11"/>
      <c r="P45" s="11"/>
      <c r="Q45" s="11"/>
      <c r="R45" s="11"/>
      <c r="S45" s="11"/>
    </row>
    <row r="46" spans="1:25">
      <c r="B46" s="3" t="s">
        <v>139</v>
      </c>
      <c r="D46" s="359">
        <v>-60957.631260000002</v>
      </c>
      <c r="E46" s="359">
        <v>-81374.428199999995</v>
      </c>
      <c r="F46" s="359">
        <v>-86994.074509999991</v>
      </c>
      <c r="G46" s="359">
        <v>-92083.835690000007</v>
      </c>
      <c r="H46" s="359">
        <v>-84225.030650000001</v>
      </c>
      <c r="I46" s="359">
        <v>-112037.42</v>
      </c>
      <c r="J46" s="359">
        <v>-144988</v>
      </c>
      <c r="K46" s="359">
        <v>-165417.28617999997</v>
      </c>
      <c r="L46" s="359">
        <v>-183931.93221</v>
      </c>
      <c r="M46" s="11">
        <f>M27*Assumptions!N187</f>
        <v>0</v>
      </c>
      <c r="N46" s="11" t="e">
        <f>N27*Assumptions!O187</f>
        <v>#DIV/0!</v>
      </c>
      <c r="O46" s="11" t="e">
        <f>O27*Assumptions!P187</f>
        <v>#DIV/0!</v>
      </c>
      <c r="P46" s="11" t="e">
        <f>P27*Assumptions!Q187</f>
        <v>#DIV/0!</v>
      </c>
      <c r="Q46" s="11" t="e">
        <f>Q27*Assumptions!R187</f>
        <v>#DIV/0!</v>
      </c>
      <c r="R46" s="11" t="e">
        <f>R27*Assumptions!S187</f>
        <v>#DIV/0!</v>
      </c>
      <c r="S46" s="11" t="e">
        <f>S27*Assumptions!T187</f>
        <v>#DIV/0!</v>
      </c>
    </row>
    <row r="47" spans="1:25">
      <c r="B47" s="3" t="s">
        <v>39</v>
      </c>
      <c r="D47" s="359">
        <v>-3033.0970000000002</v>
      </c>
      <c r="E47" s="359">
        <v>-3959.89203</v>
      </c>
      <c r="F47" s="359">
        <v>-5076.9017000000003</v>
      </c>
      <c r="G47" s="359">
        <v>-5507.1851200000001</v>
      </c>
      <c r="H47" s="359">
        <v>-5982.1838499999994</v>
      </c>
      <c r="I47" s="359">
        <v>-6636.1988499999998</v>
      </c>
      <c r="J47" s="359">
        <v>-7984</v>
      </c>
      <c r="K47" s="359">
        <v>-8545.5781200000038</v>
      </c>
      <c r="L47" s="359">
        <v>-8060.0677900000019</v>
      </c>
      <c r="M47" s="11">
        <f t="shared" ref="M47:S47" si="12">L47</f>
        <v>-8060.0677900000019</v>
      </c>
      <c r="N47" s="11">
        <f t="shared" si="12"/>
        <v>-8060.0677900000019</v>
      </c>
      <c r="O47" s="11">
        <f t="shared" si="12"/>
        <v>-8060.0677900000019</v>
      </c>
      <c r="P47" s="11">
        <f t="shared" si="12"/>
        <v>-8060.0677900000019</v>
      </c>
      <c r="Q47" s="11">
        <f t="shared" si="12"/>
        <v>-8060.0677900000019</v>
      </c>
      <c r="R47" s="11">
        <f t="shared" si="12"/>
        <v>-8060.0677900000019</v>
      </c>
      <c r="S47" s="11">
        <f t="shared" si="12"/>
        <v>-8060.0677900000019</v>
      </c>
    </row>
    <row r="48" spans="1:25" ht="4.5" customHeight="1">
      <c r="B48" s="26"/>
      <c r="C48" s="136"/>
      <c r="D48" s="360"/>
      <c r="E48" s="360"/>
      <c r="F48" s="360"/>
      <c r="G48" s="360"/>
      <c r="H48" s="360"/>
      <c r="I48" s="360"/>
      <c r="J48" s="360"/>
      <c r="K48" s="360"/>
      <c r="L48" s="360"/>
      <c r="M48" s="51"/>
      <c r="N48" s="51"/>
      <c r="O48" s="51"/>
      <c r="P48" s="51"/>
      <c r="Q48" s="51"/>
      <c r="R48" s="51"/>
      <c r="S48" s="51"/>
      <c r="U48" s="59"/>
      <c r="V48" s="59"/>
      <c r="W48" s="59"/>
      <c r="X48" s="59"/>
      <c r="Y48" s="59"/>
    </row>
    <row r="49" spans="1:25">
      <c r="B49" s="5" t="s">
        <v>139</v>
      </c>
      <c r="D49" s="361">
        <f>D46+D47</f>
        <v>-63990.728260000004</v>
      </c>
      <c r="E49" s="361">
        <f t="shared" ref="E49:S49" si="13">E46+E47</f>
        <v>-85334.320229999998</v>
      </c>
      <c r="F49" s="361">
        <f t="shared" si="13"/>
        <v>-92070.976209999993</v>
      </c>
      <c r="G49" s="361">
        <f t="shared" si="13"/>
        <v>-97591.020810000002</v>
      </c>
      <c r="H49" s="361">
        <f t="shared" si="13"/>
        <v>-90207.214500000002</v>
      </c>
      <c r="I49" s="361">
        <f t="shared" si="13"/>
        <v>-118673.61885</v>
      </c>
      <c r="J49" s="361">
        <f t="shared" si="13"/>
        <v>-152972</v>
      </c>
      <c r="K49" s="361">
        <f t="shared" si="13"/>
        <v>-173962.86429999996</v>
      </c>
      <c r="L49" s="361">
        <f t="shared" si="13"/>
        <v>-191992</v>
      </c>
      <c r="M49" s="40">
        <f t="shared" si="13"/>
        <v>-8060.0677900000019</v>
      </c>
      <c r="N49" s="40" t="e">
        <f t="shared" si="13"/>
        <v>#DIV/0!</v>
      </c>
      <c r="O49" s="40" t="e">
        <f t="shared" si="13"/>
        <v>#DIV/0!</v>
      </c>
      <c r="P49" s="40" t="e">
        <f t="shared" si="13"/>
        <v>#DIV/0!</v>
      </c>
      <c r="Q49" s="40" t="e">
        <f t="shared" si="13"/>
        <v>#DIV/0!</v>
      </c>
      <c r="R49" s="40" t="e">
        <f t="shared" si="13"/>
        <v>#DIV/0!</v>
      </c>
      <c r="S49" s="40" t="e">
        <f t="shared" si="13"/>
        <v>#DIV/0!</v>
      </c>
      <c r="U49" s="60"/>
      <c r="V49" s="60"/>
      <c r="W49" s="60"/>
      <c r="X49" s="60"/>
      <c r="Y49" s="60"/>
    </row>
    <row r="50" spans="1:25">
      <c r="B50" s="3" t="s">
        <v>252</v>
      </c>
      <c r="C50" s="20"/>
      <c r="D50" s="369">
        <f t="shared" ref="D50:S50" si="14">D49/D17</f>
        <v>-5.6226146622572436E-2</v>
      </c>
      <c r="E50" s="369">
        <f t="shared" si="14"/>
        <v>-5.9851793385690577E-2</v>
      </c>
      <c r="F50" s="369">
        <f t="shared" si="14"/>
        <v>-5.2598436657700011E-2</v>
      </c>
      <c r="G50" s="369">
        <f t="shared" si="14"/>
        <v>-5.6584462436281797E-2</v>
      </c>
      <c r="H50" s="369">
        <f t="shared" si="14"/>
        <v>-4.9647815564057354E-2</v>
      </c>
      <c r="I50" s="369">
        <f t="shared" si="14"/>
        <v>-5.1881189555133114E-2</v>
      </c>
      <c r="J50" s="369">
        <f t="shared" si="14"/>
        <v>-5.6013253770189744E-2</v>
      </c>
      <c r="K50" s="369">
        <f t="shared" si="14"/>
        <v>-4.6618078621025495E-2</v>
      </c>
      <c r="L50" s="369">
        <f t="shared" si="14"/>
        <v>-4.1062521356742647E-2</v>
      </c>
      <c r="M50" s="143" t="e">
        <f t="shared" si="14"/>
        <v>#DIV/0!</v>
      </c>
      <c r="N50" s="143" t="e">
        <f t="shared" si="14"/>
        <v>#DIV/0!</v>
      </c>
      <c r="O50" s="143" t="e">
        <f t="shared" si="14"/>
        <v>#DIV/0!</v>
      </c>
      <c r="P50" s="143" t="e">
        <f t="shared" si="14"/>
        <v>#DIV/0!</v>
      </c>
      <c r="Q50" s="143" t="e">
        <f t="shared" si="14"/>
        <v>#DIV/0!</v>
      </c>
      <c r="R50" s="143" t="e">
        <f t="shared" si="14"/>
        <v>#DIV/0!</v>
      </c>
      <c r="S50" s="143" t="e">
        <f t="shared" si="14"/>
        <v>#DIV/0!</v>
      </c>
      <c r="U50" s="60"/>
      <c r="V50" s="60"/>
      <c r="W50" s="60"/>
      <c r="X50" s="60"/>
      <c r="Y50" s="60"/>
    </row>
    <row r="51" spans="1:25">
      <c r="C51" s="61"/>
      <c r="D51" s="359"/>
      <c r="E51" s="359"/>
      <c r="F51" s="359"/>
      <c r="G51" s="359"/>
      <c r="H51" s="359"/>
      <c r="I51" s="359"/>
      <c r="J51" s="359"/>
      <c r="K51" s="359"/>
      <c r="L51" s="359"/>
      <c r="M51" s="11"/>
      <c r="N51" s="11"/>
      <c r="O51" s="11"/>
      <c r="P51" s="11"/>
      <c r="Q51" s="11"/>
      <c r="R51" s="11"/>
      <c r="S51" s="11"/>
      <c r="U51" s="60"/>
      <c r="V51" s="60"/>
      <c r="W51" s="60"/>
      <c r="X51" s="60"/>
      <c r="Y51" s="60"/>
    </row>
    <row r="52" spans="1:25">
      <c r="B52" s="3" t="s">
        <v>253</v>
      </c>
      <c r="C52" s="61"/>
      <c r="D52" s="359">
        <v>-37605.519</v>
      </c>
      <c r="E52" s="359">
        <v>-44744.894969999994</v>
      </c>
      <c r="F52" s="359">
        <v>-47471.10022</v>
      </c>
      <c r="G52" s="362">
        <v>-54159.135569999999</v>
      </c>
      <c r="H52" s="362">
        <v>-56657.876180000007</v>
      </c>
      <c r="I52" s="362">
        <v>-63923.084000000003</v>
      </c>
      <c r="J52" s="362">
        <f>-75168</f>
        <v>-75168</v>
      </c>
      <c r="K52" s="362">
        <v>-82894.410210000002</v>
      </c>
      <c r="L52" s="362">
        <v>-131751.32102000003</v>
      </c>
      <c r="M52" s="11">
        <f>(Assumptions!N164*IS!M27)*(1+Assumptions!N165)</f>
        <v>0</v>
      </c>
      <c r="N52" s="11" t="e">
        <f>(Assumptions!O164*IS!N27)*(1+Assumptions!O165)</f>
        <v>#DIV/0!</v>
      </c>
      <c r="O52" s="11" t="e">
        <f>(Assumptions!P164*IS!O27)*(1+Assumptions!P165)</f>
        <v>#DIV/0!</v>
      </c>
      <c r="P52" s="11" t="e">
        <f>(Assumptions!Q164*IS!P27)*(1+Assumptions!Q165)</f>
        <v>#DIV/0!</v>
      </c>
      <c r="Q52" s="11" t="e">
        <f>(Assumptions!R164*IS!Q27)*(1+Assumptions!R165)</f>
        <v>#DIV/0!</v>
      </c>
      <c r="R52" s="11" t="e">
        <f>(Assumptions!S164*IS!R27)*(1+Assumptions!S165)</f>
        <v>#DIV/0!</v>
      </c>
      <c r="S52" s="11" t="e">
        <f>(Assumptions!T164*IS!S27)*(1+Assumptions!T165)</f>
        <v>#DIV/0!</v>
      </c>
      <c r="U52" s="60"/>
      <c r="V52" s="60"/>
      <c r="W52" s="60"/>
      <c r="X52" s="60"/>
      <c r="Y52" s="60"/>
    </row>
    <row r="53" spans="1:25">
      <c r="B53" s="3" t="s">
        <v>39</v>
      </c>
      <c r="C53" s="61"/>
      <c r="D53" s="359">
        <v>-2831.73</v>
      </c>
      <c r="E53" s="359">
        <v>-2812.1419999999998</v>
      </c>
      <c r="F53" s="359">
        <v>-3025.2975499999998</v>
      </c>
      <c r="G53" s="362">
        <v>-2088.06</v>
      </c>
      <c r="H53" s="362">
        <v>-1159.662</v>
      </c>
      <c r="I53" s="362">
        <v>-1630.9159999999999</v>
      </c>
      <c r="J53" s="362">
        <v>-1897</v>
      </c>
      <c r="K53" s="362">
        <v>-2094.6800900000007</v>
      </c>
      <c r="L53" s="362">
        <v>-4203.3889799999988</v>
      </c>
      <c r="M53" s="11">
        <f t="shared" ref="M53:S53" si="15">L53</f>
        <v>-4203.3889799999988</v>
      </c>
      <c r="N53" s="11">
        <f t="shared" si="15"/>
        <v>-4203.3889799999988</v>
      </c>
      <c r="O53" s="11">
        <f t="shared" si="15"/>
        <v>-4203.3889799999988</v>
      </c>
      <c r="P53" s="11">
        <f t="shared" si="15"/>
        <v>-4203.3889799999988</v>
      </c>
      <c r="Q53" s="11">
        <f t="shared" si="15"/>
        <v>-4203.3889799999988</v>
      </c>
      <c r="R53" s="11">
        <f t="shared" si="15"/>
        <v>-4203.3889799999988</v>
      </c>
      <c r="S53" s="11">
        <f t="shared" si="15"/>
        <v>-4203.3889799999988</v>
      </c>
      <c r="U53" s="60"/>
      <c r="V53" s="60"/>
      <c r="W53" s="60"/>
      <c r="X53" s="60"/>
      <c r="Y53" s="60"/>
    </row>
    <row r="54" spans="1:25">
      <c r="B54" s="3" t="s">
        <v>176</v>
      </c>
      <c r="C54" s="61"/>
      <c r="D54" s="359">
        <v>-7289.6710000000003</v>
      </c>
      <c r="E54" s="359">
        <v>-6183.6644500000002</v>
      </c>
      <c r="F54" s="359">
        <v>-7939.7569999999996</v>
      </c>
      <c r="G54" s="362">
        <v>-2838.5036399999999</v>
      </c>
      <c r="H54" s="362">
        <v>-28218.282999999999</v>
      </c>
      <c r="I54" s="362">
        <v>-35960</v>
      </c>
      <c r="J54" s="362">
        <v>-26088</v>
      </c>
      <c r="K54" s="362">
        <v>-45394.246590000002</v>
      </c>
      <c r="L54" s="362">
        <v>-81094.83</v>
      </c>
      <c r="M54" s="11">
        <f>M27*Assumptions!N169</f>
        <v>0</v>
      </c>
      <c r="N54" s="11" t="e">
        <f>N27*Assumptions!O169</f>
        <v>#DIV/0!</v>
      </c>
      <c r="O54" s="11" t="e">
        <f>O27*Assumptions!P169</f>
        <v>#DIV/0!</v>
      </c>
      <c r="P54" s="11" t="e">
        <f>P27*Assumptions!Q169</f>
        <v>#DIV/0!</v>
      </c>
      <c r="Q54" s="11" t="e">
        <f>Q27*Assumptions!R169</f>
        <v>#DIV/0!</v>
      </c>
      <c r="R54" s="11" t="e">
        <f>R27*Assumptions!S169</f>
        <v>#DIV/0!</v>
      </c>
      <c r="S54" s="11" t="e">
        <f>S27*Assumptions!T169</f>
        <v>#DIV/0!</v>
      </c>
      <c r="U54" s="60"/>
      <c r="V54" s="60"/>
      <c r="W54" s="60"/>
      <c r="X54" s="60"/>
      <c r="Y54" s="60"/>
    </row>
    <row r="55" spans="1:25">
      <c r="B55" s="3" t="s">
        <v>254</v>
      </c>
      <c r="C55" s="61"/>
      <c r="D55" s="359">
        <v>0</v>
      </c>
      <c r="E55" s="359">
        <v>0</v>
      </c>
      <c r="F55" s="359">
        <v>0</v>
      </c>
      <c r="G55" s="362">
        <v>0</v>
      </c>
      <c r="H55" s="362">
        <v>170205</v>
      </c>
      <c r="I55" s="362">
        <f>'Land Sales and Purchase'!I13</f>
        <v>0</v>
      </c>
      <c r="J55" s="362">
        <v>80207</v>
      </c>
      <c r="K55" s="362">
        <f>'Land Sales and Purchase'!K13</f>
        <v>0</v>
      </c>
      <c r="L55" s="362">
        <f>'Land Sales and Purchase'!L13</f>
        <v>0</v>
      </c>
      <c r="M55" s="11">
        <f>'Land Sales and Purchase'!M13</f>
        <v>0</v>
      </c>
      <c r="N55" s="11">
        <f>'Land Sales and Purchase'!N13</f>
        <v>0</v>
      </c>
      <c r="O55" s="11">
        <f>'Land Sales and Purchase'!O13</f>
        <v>0</v>
      </c>
      <c r="P55" s="11">
        <f>'Land Sales and Purchase'!P13</f>
        <v>0</v>
      </c>
      <c r="Q55" s="11">
        <f>'Land Sales and Purchase'!Q13</f>
        <v>0</v>
      </c>
      <c r="R55" s="11">
        <f>'Land Sales and Purchase'!R13</f>
        <v>0</v>
      </c>
      <c r="S55" s="11">
        <f>'Land Sales and Purchase'!S13</f>
        <v>0</v>
      </c>
      <c r="U55" s="60"/>
      <c r="V55" s="60"/>
      <c r="W55" s="60"/>
      <c r="X55" s="60"/>
      <c r="Y55" s="60"/>
    </row>
    <row r="56" spans="1:25">
      <c r="B56" s="3" t="s">
        <v>255</v>
      </c>
      <c r="C56" s="61"/>
      <c r="D56" s="359">
        <v>0</v>
      </c>
      <c r="E56" s="359">
        <v>0</v>
      </c>
      <c r="F56" s="359">
        <v>0</v>
      </c>
      <c r="G56" s="362">
        <v>0</v>
      </c>
      <c r="H56" s="362">
        <v>-84536</v>
      </c>
      <c r="I56" s="362">
        <f>I55*Assumptions!J248</f>
        <v>0</v>
      </c>
      <c r="J56" s="362">
        <v>-58059</v>
      </c>
      <c r="K56" s="362">
        <f>K55*Assumptions!L248</f>
        <v>0</v>
      </c>
      <c r="L56" s="362">
        <f>L55*Assumptions!M248</f>
        <v>0</v>
      </c>
      <c r="M56" s="11">
        <f>M55*Assumptions!N248</f>
        <v>0</v>
      </c>
      <c r="N56" s="11">
        <f>N55*Assumptions!O248</f>
        <v>0</v>
      </c>
      <c r="O56" s="11">
        <f>O55*Assumptions!P248</f>
        <v>0</v>
      </c>
      <c r="P56" s="11">
        <f>P55*Assumptions!Q248</f>
        <v>0</v>
      </c>
      <c r="Q56" s="11">
        <f>Q55*Assumptions!R248</f>
        <v>0</v>
      </c>
      <c r="R56" s="11">
        <f>R55*Assumptions!S248</f>
        <v>0</v>
      </c>
      <c r="S56" s="11">
        <f>S55*Assumptions!T248</f>
        <v>0</v>
      </c>
      <c r="U56" s="60"/>
      <c r="V56" s="60"/>
      <c r="W56" s="60"/>
      <c r="X56" s="60"/>
      <c r="Y56" s="60"/>
    </row>
    <row r="57" spans="1:25">
      <c r="B57" s="62" t="s">
        <v>156</v>
      </c>
      <c r="D57" s="359">
        <v>912.04596000000004</v>
      </c>
      <c r="E57" s="359">
        <v>-3215.9470000000001</v>
      </c>
      <c r="F57" s="359">
        <v>2884.2359999999999</v>
      </c>
      <c r="G57" s="359">
        <v>20522.419000000002</v>
      </c>
      <c r="H57" s="359">
        <f>92400.021-H55-H56</f>
        <v>6731.0209999999934</v>
      </c>
      <c r="I57" s="359">
        <v>31987</v>
      </c>
      <c r="J57" s="359">
        <v>9504</v>
      </c>
      <c r="K57" s="359">
        <v>14589.777800000002</v>
      </c>
      <c r="L57" s="359">
        <v>114778.7</v>
      </c>
      <c r="M57" s="11">
        <v>0</v>
      </c>
      <c r="N57" s="11">
        <v>0</v>
      </c>
      <c r="O57" s="11">
        <v>0</v>
      </c>
      <c r="P57" s="11">
        <v>0</v>
      </c>
      <c r="Q57" s="11">
        <v>0</v>
      </c>
      <c r="R57" s="11">
        <v>0</v>
      </c>
      <c r="S57" s="11">
        <v>0</v>
      </c>
      <c r="U57" s="60"/>
      <c r="V57" s="60"/>
      <c r="W57" s="60"/>
      <c r="X57" s="60"/>
      <c r="Y57" s="60"/>
    </row>
    <row r="58" spans="1:25" ht="4.5" customHeight="1">
      <c r="B58" s="138"/>
      <c r="C58" s="27"/>
      <c r="D58" s="363"/>
      <c r="E58" s="363"/>
      <c r="F58" s="363"/>
      <c r="G58" s="363"/>
      <c r="H58" s="363"/>
      <c r="I58" s="363"/>
      <c r="J58" s="363"/>
      <c r="K58" s="363"/>
      <c r="L58" s="363"/>
      <c r="M58" s="49"/>
      <c r="N58" s="49"/>
      <c r="O58" s="49"/>
      <c r="P58" s="49"/>
      <c r="Q58" s="49"/>
      <c r="R58" s="49"/>
      <c r="S58" s="49"/>
      <c r="U58" s="60"/>
      <c r="V58" s="60"/>
      <c r="W58" s="60"/>
      <c r="X58" s="60"/>
      <c r="Y58" s="60"/>
    </row>
    <row r="59" spans="1:25">
      <c r="B59" s="5" t="s">
        <v>256</v>
      </c>
      <c r="D59" s="370">
        <f t="shared" ref="D59:S59" si="16">SUM(D52:D57)</f>
        <v>-46814.874040000002</v>
      </c>
      <c r="E59" s="370">
        <f t="shared" si="16"/>
        <v>-56956.648419999998</v>
      </c>
      <c r="F59" s="370">
        <f t="shared" si="16"/>
        <v>-55551.918770000004</v>
      </c>
      <c r="G59" s="370">
        <f t="shared" si="16"/>
        <v>-38563.280209999997</v>
      </c>
      <c r="H59" s="370">
        <f t="shared" si="16"/>
        <v>6364.1998199999944</v>
      </c>
      <c r="I59" s="370">
        <f t="shared" si="16"/>
        <v>-69527</v>
      </c>
      <c r="J59" s="370">
        <f t="shared" si="16"/>
        <v>-71501</v>
      </c>
      <c r="K59" s="370">
        <f t="shared" si="16"/>
        <v>-115793.55909000001</v>
      </c>
      <c r="L59" s="370">
        <f t="shared" si="16"/>
        <v>-102270.84000000004</v>
      </c>
      <c r="M59" s="145">
        <f t="shared" si="16"/>
        <v>-4203.3889799999988</v>
      </c>
      <c r="N59" s="145" t="e">
        <f t="shared" si="16"/>
        <v>#DIV/0!</v>
      </c>
      <c r="O59" s="145" t="e">
        <f t="shared" si="16"/>
        <v>#DIV/0!</v>
      </c>
      <c r="P59" s="145" t="e">
        <f t="shared" si="16"/>
        <v>#DIV/0!</v>
      </c>
      <c r="Q59" s="145" t="e">
        <f t="shared" si="16"/>
        <v>#DIV/0!</v>
      </c>
      <c r="R59" s="145" t="e">
        <f t="shared" si="16"/>
        <v>#DIV/0!</v>
      </c>
      <c r="S59" s="145" t="e">
        <f t="shared" si="16"/>
        <v>#DIV/0!</v>
      </c>
      <c r="T59" s="60"/>
      <c r="U59" s="60"/>
      <c r="V59" s="60"/>
      <c r="W59" s="60"/>
      <c r="X59" s="60"/>
      <c r="Y59" s="60"/>
    </row>
    <row r="60" spans="1:25">
      <c r="B60" s="3" t="s">
        <v>252</v>
      </c>
      <c r="D60" s="369">
        <f t="shared" ref="D60:S60" si="17">D59/D29</f>
        <v>-3.7902480620768474E-2</v>
      </c>
      <c r="E60" s="369">
        <f t="shared" si="17"/>
        <v>-3.7336473018160912E-2</v>
      </c>
      <c r="F60" s="369">
        <f t="shared" si="17"/>
        <v>-2.7874141290275933E-2</v>
      </c>
      <c r="G60" s="369">
        <f t="shared" si="17"/>
        <v>-2.3235787372948742E-2</v>
      </c>
      <c r="H60" s="369">
        <f t="shared" si="17"/>
        <v>2.8668874358838089E-3</v>
      </c>
      <c r="I60" s="369">
        <f t="shared" si="17"/>
        <v>-2.4624689968642238E-2</v>
      </c>
      <c r="J60" s="369">
        <f t="shared" si="17"/>
        <v>-2.351501856920513E-2</v>
      </c>
      <c r="K60" s="369">
        <f t="shared" si="17"/>
        <v>-2.9897017384675574E-2</v>
      </c>
      <c r="L60" s="369">
        <f t="shared" si="17"/>
        <v>-1.7790512574483077E-2</v>
      </c>
      <c r="M60" s="143" t="e">
        <f t="shared" si="17"/>
        <v>#DIV/0!</v>
      </c>
      <c r="N60" s="143" t="e">
        <f t="shared" si="17"/>
        <v>#DIV/0!</v>
      </c>
      <c r="O60" s="143" t="e">
        <f t="shared" si="17"/>
        <v>#DIV/0!</v>
      </c>
      <c r="P60" s="143" t="e">
        <f t="shared" si="17"/>
        <v>#DIV/0!</v>
      </c>
      <c r="Q60" s="143" t="e">
        <f t="shared" si="17"/>
        <v>#DIV/0!</v>
      </c>
      <c r="R60" s="143" t="e">
        <f t="shared" si="17"/>
        <v>#DIV/0!</v>
      </c>
      <c r="S60" s="143" t="e">
        <f t="shared" si="17"/>
        <v>#DIV/0!</v>
      </c>
      <c r="U60" s="60"/>
      <c r="V60" s="60"/>
      <c r="W60" s="60"/>
      <c r="X60" s="60"/>
      <c r="Y60" s="60"/>
    </row>
    <row r="61" spans="1:25" ht="3.75" customHeight="1">
      <c r="A61"/>
      <c r="D61" s="371"/>
      <c r="E61" s="371"/>
      <c r="F61" s="371"/>
      <c r="G61" s="371"/>
      <c r="H61" s="371"/>
      <c r="I61" s="371"/>
      <c r="J61" s="371"/>
      <c r="K61" s="371"/>
      <c r="L61" s="371"/>
      <c r="U61" s="60"/>
      <c r="V61" s="60"/>
      <c r="W61" s="60"/>
      <c r="X61" s="60"/>
      <c r="Y61" s="60"/>
    </row>
    <row r="62" spans="1:25" ht="12.75">
      <c r="A62"/>
      <c r="B62" s="3" t="s">
        <v>156</v>
      </c>
      <c r="D62" s="365">
        <v>0</v>
      </c>
      <c r="E62" s="365">
        <v>0</v>
      </c>
      <c r="F62" s="365">
        <v>0</v>
      </c>
      <c r="G62" s="365">
        <v>0</v>
      </c>
      <c r="H62" s="365">
        <v>0</v>
      </c>
      <c r="I62" s="365">
        <v>0</v>
      </c>
      <c r="J62" s="365">
        <v>0</v>
      </c>
      <c r="K62" s="365">
        <v>0</v>
      </c>
      <c r="L62" s="365">
        <v>0</v>
      </c>
      <c r="M62" s="31">
        <v>0</v>
      </c>
      <c r="N62" s="31">
        <v>0</v>
      </c>
      <c r="O62" s="31">
        <v>0</v>
      </c>
      <c r="P62" s="31">
        <v>0</v>
      </c>
      <c r="Q62" s="31">
        <v>0</v>
      </c>
      <c r="R62" s="31">
        <v>0</v>
      </c>
      <c r="S62" s="31">
        <v>0</v>
      </c>
    </row>
    <row r="63" spans="1:25" ht="4.5" customHeight="1">
      <c r="B63" s="34"/>
      <c r="C63" s="136"/>
      <c r="D63" s="372"/>
      <c r="E63" s="372"/>
      <c r="F63" s="372"/>
      <c r="G63" s="372"/>
      <c r="H63" s="372"/>
      <c r="I63" s="372"/>
      <c r="J63" s="372"/>
      <c r="K63" s="372"/>
      <c r="L63" s="372"/>
      <c r="M63" s="139"/>
      <c r="N63" s="139"/>
      <c r="O63" s="139"/>
      <c r="P63" s="139"/>
      <c r="Q63" s="139"/>
      <c r="R63" s="139"/>
      <c r="S63" s="139"/>
    </row>
    <row r="64" spans="1:25">
      <c r="B64" s="5" t="s">
        <v>23</v>
      </c>
      <c r="C64" s="35"/>
      <c r="D64" s="361">
        <f t="shared" ref="D64:S64" si="18">D62+D59+D49</f>
        <v>-110805.6023</v>
      </c>
      <c r="E64" s="361">
        <f t="shared" si="18"/>
        <v>-142290.96865</v>
      </c>
      <c r="F64" s="361">
        <f t="shared" si="18"/>
        <v>-147622.89497999998</v>
      </c>
      <c r="G64" s="361">
        <f t="shared" si="18"/>
        <v>-136154.30102000001</v>
      </c>
      <c r="H64" s="361">
        <f t="shared" si="18"/>
        <v>-83843.014680000008</v>
      </c>
      <c r="I64" s="361">
        <f t="shared" si="18"/>
        <v>-188200.61885</v>
      </c>
      <c r="J64" s="361">
        <f t="shared" si="18"/>
        <v>-224473</v>
      </c>
      <c r="K64" s="361">
        <f t="shared" si="18"/>
        <v>-289756.42338999995</v>
      </c>
      <c r="L64" s="361">
        <f t="shared" si="18"/>
        <v>-294262.84000000003</v>
      </c>
      <c r="M64" s="40">
        <f t="shared" si="18"/>
        <v>-12263.456770000001</v>
      </c>
      <c r="N64" s="40" t="e">
        <f t="shared" si="18"/>
        <v>#DIV/0!</v>
      </c>
      <c r="O64" s="40" t="e">
        <f t="shared" si="18"/>
        <v>#DIV/0!</v>
      </c>
      <c r="P64" s="40" t="e">
        <f t="shared" si="18"/>
        <v>#DIV/0!</v>
      </c>
      <c r="Q64" s="40" t="e">
        <f t="shared" si="18"/>
        <v>#DIV/0!</v>
      </c>
      <c r="R64" s="40" t="e">
        <f t="shared" si="18"/>
        <v>#DIV/0!</v>
      </c>
      <c r="S64" s="40" t="e">
        <f t="shared" si="18"/>
        <v>#DIV/0!</v>
      </c>
    </row>
    <row r="65" spans="1:26">
      <c r="D65" s="359"/>
      <c r="E65" s="359"/>
      <c r="F65" s="359"/>
      <c r="G65" s="359"/>
      <c r="H65" s="359"/>
      <c r="I65" s="359"/>
      <c r="J65" s="359"/>
      <c r="K65" s="359"/>
      <c r="L65" s="359"/>
      <c r="M65" s="11"/>
      <c r="N65" s="11"/>
      <c r="O65" s="11"/>
      <c r="P65" s="11"/>
      <c r="Q65" s="11"/>
      <c r="R65" s="11"/>
      <c r="S65" s="11"/>
    </row>
    <row r="66" spans="1:26">
      <c r="B66" s="36" t="s">
        <v>257</v>
      </c>
      <c r="C66" s="221"/>
      <c r="D66" s="366">
        <f t="shared" ref="D66:S66" si="19">D40+D53+D47</f>
        <v>-115516.77099999999</v>
      </c>
      <c r="E66" s="366">
        <f t="shared" si="19"/>
        <v>-99919.386030000009</v>
      </c>
      <c r="F66" s="366">
        <f t="shared" si="19"/>
        <v>-106802.69625000001</v>
      </c>
      <c r="G66" s="366">
        <f t="shared" si="19"/>
        <v>-104242.37611999999</v>
      </c>
      <c r="H66" s="366">
        <f t="shared" si="19"/>
        <v>-91506.461360000001</v>
      </c>
      <c r="I66" s="366">
        <f t="shared" si="19"/>
        <v>-111230.63186295109</v>
      </c>
      <c r="J66" s="366">
        <f t="shared" si="19"/>
        <v>-105811</v>
      </c>
      <c r="K66" s="366">
        <f t="shared" si="19"/>
        <v>-119449.04448021602</v>
      </c>
      <c r="L66" s="366">
        <f t="shared" si="19"/>
        <v>-133282.22465490235</v>
      </c>
      <c r="M66" s="48">
        <f t="shared" si="19"/>
        <v>-105839.01296238578</v>
      </c>
      <c r="N66" s="48">
        <f t="shared" si="19"/>
        <v>-92738.435095451772</v>
      </c>
      <c r="O66" s="48" t="e">
        <f t="shared" si="19"/>
        <v>#DIV/0!</v>
      </c>
      <c r="P66" s="48" t="e">
        <f t="shared" si="19"/>
        <v>#DIV/0!</v>
      </c>
      <c r="Q66" s="48" t="e">
        <f t="shared" si="19"/>
        <v>#DIV/0!</v>
      </c>
      <c r="R66" s="48" t="e">
        <f t="shared" si="19"/>
        <v>#DIV/0!</v>
      </c>
      <c r="S66" s="48" t="e">
        <f t="shared" si="19"/>
        <v>#DIV/0!</v>
      </c>
    </row>
    <row r="67" spans="1:26" customFormat="1" ht="12.75">
      <c r="A67" s="3"/>
      <c r="B67" s="3"/>
      <c r="C67" s="4"/>
      <c r="D67" s="310"/>
      <c r="E67" s="310"/>
      <c r="F67" s="310"/>
      <c r="G67" s="310"/>
      <c r="H67" s="310"/>
      <c r="I67" s="310"/>
      <c r="J67" s="310"/>
      <c r="K67" s="310"/>
      <c r="L67" s="310"/>
      <c r="M67" s="8"/>
      <c r="N67" s="8"/>
      <c r="O67" s="8"/>
      <c r="P67" s="8"/>
      <c r="Q67" s="8"/>
      <c r="R67" s="8"/>
      <c r="S67" s="8"/>
      <c r="T67" s="3"/>
      <c r="U67" s="3"/>
      <c r="V67" s="3"/>
      <c r="W67" s="3"/>
      <c r="X67" s="3"/>
      <c r="Y67" s="3"/>
      <c r="Z67" s="3"/>
    </row>
    <row r="68" spans="1:26" customFormat="1" ht="12.75">
      <c r="A68" s="3"/>
      <c r="B68" s="3" t="s">
        <v>258</v>
      </c>
      <c r="C68" s="4"/>
      <c r="D68" s="310">
        <v>0</v>
      </c>
      <c r="E68" s="310">
        <v>0</v>
      </c>
      <c r="F68" s="310">
        <v>0</v>
      </c>
      <c r="G68" s="310">
        <v>7323.4</v>
      </c>
      <c r="H68" s="310">
        <f>84535.5+3636.5</f>
        <v>88172</v>
      </c>
      <c r="I68" s="310">
        <v>5783.08</v>
      </c>
      <c r="J68" s="310">
        <v>12653</v>
      </c>
      <c r="K68" s="310">
        <v>10933</v>
      </c>
      <c r="L68" s="310">
        <v>10670.938000000548</v>
      </c>
      <c r="M68" s="8">
        <v>0</v>
      </c>
      <c r="N68" s="8">
        <v>0</v>
      </c>
      <c r="O68" s="8">
        <v>0</v>
      </c>
      <c r="P68" s="8">
        <v>0</v>
      </c>
      <c r="Q68" s="8">
        <v>0</v>
      </c>
      <c r="R68" s="8">
        <v>0</v>
      </c>
      <c r="S68" s="8">
        <v>0</v>
      </c>
      <c r="T68" s="3"/>
      <c r="U68" s="3"/>
      <c r="V68" s="3"/>
      <c r="W68" s="3"/>
      <c r="X68" s="3"/>
      <c r="Y68" s="3"/>
      <c r="Z68" s="3"/>
    </row>
    <row r="69" spans="1:26" customFormat="1" ht="12.75">
      <c r="A69" s="3"/>
      <c r="B69" s="3" t="s">
        <v>385</v>
      </c>
      <c r="C69" s="4"/>
      <c r="D69" s="310"/>
      <c r="E69" s="310"/>
      <c r="F69" s="310"/>
      <c r="G69" s="310"/>
      <c r="H69" s="310"/>
      <c r="I69" s="310"/>
      <c r="J69" s="310">
        <v>40772</v>
      </c>
      <c r="K69" s="310">
        <v>73663</v>
      </c>
      <c r="L69" s="310">
        <f>133286732/1000+79361</f>
        <v>212647.73199999999</v>
      </c>
      <c r="M69" s="8"/>
      <c r="N69" s="8"/>
      <c r="O69" s="8"/>
      <c r="P69" s="8"/>
      <c r="Q69" s="8"/>
      <c r="R69" s="8"/>
      <c r="S69" s="8"/>
      <c r="T69" s="3"/>
      <c r="U69" s="3"/>
      <c r="V69" s="3"/>
      <c r="W69" s="3"/>
      <c r="X69" s="3"/>
      <c r="Y69" s="3"/>
      <c r="Z69" s="3"/>
    </row>
    <row r="70" spans="1:26" customFormat="1" ht="12.75">
      <c r="A70" s="3"/>
      <c r="B70" s="3"/>
      <c r="C70" s="4"/>
      <c r="D70" s="310"/>
      <c r="E70" s="310"/>
      <c r="F70" s="310"/>
      <c r="G70" s="310"/>
      <c r="H70" s="310"/>
      <c r="I70" s="310"/>
      <c r="J70" s="310"/>
      <c r="K70" s="310"/>
      <c r="L70" s="310"/>
      <c r="M70" s="8"/>
      <c r="N70" s="8"/>
      <c r="O70" s="8"/>
      <c r="P70" s="8"/>
      <c r="Q70" s="8"/>
      <c r="R70" s="8"/>
      <c r="S70" s="8"/>
      <c r="T70" s="3"/>
      <c r="U70" s="3"/>
      <c r="V70" s="3"/>
      <c r="W70" s="3"/>
      <c r="X70" s="3"/>
      <c r="Y70" s="3"/>
      <c r="Z70" s="3"/>
    </row>
    <row r="71" spans="1:26">
      <c r="B71" s="383" t="s">
        <v>24</v>
      </c>
      <c r="C71" s="384"/>
      <c r="D71" s="385">
        <f t="shared" ref="D71:I71" si="20">(D43+D49+D59-D66+D68)-(D28+D37)</f>
        <v>287351.99222062371</v>
      </c>
      <c r="E71" s="385">
        <f t="shared" si="20"/>
        <v>346464.6760200003</v>
      </c>
      <c r="F71" s="385">
        <f t="shared" si="20"/>
        <v>571114.30608000001</v>
      </c>
      <c r="G71" s="385">
        <f t="shared" si="20"/>
        <v>249108.59323999935</v>
      </c>
      <c r="H71" s="385">
        <f t="shared" si="20"/>
        <v>738585.29065000033</v>
      </c>
      <c r="I71" s="385">
        <f t="shared" si="20"/>
        <v>669755.76672295132</v>
      </c>
      <c r="J71" s="385">
        <f>(J43+J49+J59-J66+J68+J69)-(J28+J37)-J56</f>
        <v>795520.5</v>
      </c>
      <c r="K71" s="385">
        <f>(K43+K49+K59-K66+K68+K69)-(K28+K37)-K56</f>
        <v>960263.36791021551</v>
      </c>
      <c r="L71" s="385">
        <f t="shared" ref="L71:S71" si="21">(L43+L49+L59-L66+L68+L69)-(L28+L37)-L56</f>
        <v>1685246.994654903</v>
      </c>
      <c r="M71" s="385">
        <f t="shared" si="21"/>
        <v>-3713110.1735324888</v>
      </c>
      <c r="N71" s="385" t="e">
        <f t="shared" si="21"/>
        <v>#DIV/0!</v>
      </c>
      <c r="O71" s="385" t="e">
        <f t="shared" si="21"/>
        <v>#DIV/0!</v>
      </c>
      <c r="P71" s="385" t="e">
        <f t="shared" si="21"/>
        <v>#DIV/0!</v>
      </c>
      <c r="Q71" s="385" t="e">
        <f t="shared" si="21"/>
        <v>#DIV/0!</v>
      </c>
      <c r="R71" s="385" t="e">
        <f t="shared" si="21"/>
        <v>#DIV/0!</v>
      </c>
      <c r="S71" s="385" t="e">
        <f t="shared" si="21"/>
        <v>#DIV/0!</v>
      </c>
    </row>
    <row r="72" spans="1:26">
      <c r="B72" s="386" t="s">
        <v>259</v>
      </c>
      <c r="C72" s="387"/>
      <c r="D72" s="388">
        <f t="shared" ref="D72:S72" si="22">D71/(D29-D28)</f>
        <v>0.26390436807951057</v>
      </c>
      <c r="E72" s="388">
        <f t="shared" si="22"/>
        <v>0.25431854194933329</v>
      </c>
      <c r="F72" s="388">
        <f t="shared" si="22"/>
        <v>0.33337586320788748</v>
      </c>
      <c r="G72" s="388">
        <f t="shared" si="22"/>
        <v>0.15550374011305546</v>
      </c>
      <c r="H72" s="388">
        <f t="shared" si="22"/>
        <v>0.39750485848103179</v>
      </c>
      <c r="I72" s="388">
        <f t="shared" si="22"/>
        <v>0.31905650617006898</v>
      </c>
      <c r="J72" s="388">
        <f t="shared" si="22"/>
        <v>0.3137032333471943</v>
      </c>
      <c r="K72" s="388">
        <f t="shared" si="22"/>
        <v>0.31000762459807052</v>
      </c>
      <c r="L72" s="388">
        <f t="shared" si="22"/>
        <v>0.42327831771716817</v>
      </c>
      <c r="M72" s="388" t="e">
        <f t="shared" si="22"/>
        <v>#DIV/0!</v>
      </c>
      <c r="N72" s="388" t="e">
        <f t="shared" si="22"/>
        <v>#DIV/0!</v>
      </c>
      <c r="O72" s="388" t="e">
        <f t="shared" si="22"/>
        <v>#DIV/0!</v>
      </c>
      <c r="P72" s="388" t="e">
        <f t="shared" si="22"/>
        <v>#DIV/0!</v>
      </c>
      <c r="Q72" s="388" t="e">
        <f t="shared" si="22"/>
        <v>#DIV/0!</v>
      </c>
      <c r="R72" s="388" t="e">
        <f t="shared" si="22"/>
        <v>#DIV/0!</v>
      </c>
      <c r="S72" s="388" t="e">
        <f t="shared" si="22"/>
        <v>#DIV/0!</v>
      </c>
    </row>
    <row r="73" spans="1:26">
      <c r="D73" s="148"/>
      <c r="E73" s="148"/>
      <c r="F73" s="148"/>
      <c r="G73" s="148"/>
      <c r="H73" s="148"/>
      <c r="I73" s="148"/>
      <c r="J73" s="148"/>
      <c r="K73" s="148"/>
      <c r="L73" s="148"/>
      <c r="M73" s="148"/>
      <c r="N73" s="148"/>
      <c r="O73" s="148"/>
      <c r="P73" s="148"/>
      <c r="Q73" s="148"/>
      <c r="R73" s="148"/>
      <c r="S73" s="148"/>
    </row>
    <row r="74" spans="1:26">
      <c r="B74" s="383" t="s">
        <v>86</v>
      </c>
      <c r="C74" s="384"/>
      <c r="D74" s="385">
        <f>D71-D55</f>
        <v>287351.99222062371</v>
      </c>
      <c r="E74" s="385">
        <f>E71-E55</f>
        <v>346464.6760200003</v>
      </c>
      <c r="F74" s="385">
        <f>F71-F55</f>
        <v>571114.30608000001</v>
      </c>
      <c r="G74" s="385">
        <f>G71-G55</f>
        <v>249108.59323999935</v>
      </c>
      <c r="H74" s="385">
        <v>568380</v>
      </c>
      <c r="I74" s="385">
        <f t="shared" ref="I74:S74" si="23">I71-I55</f>
        <v>669755.76672295132</v>
      </c>
      <c r="J74" s="385">
        <f t="shared" si="23"/>
        <v>715313.5</v>
      </c>
      <c r="K74" s="385">
        <f t="shared" si="23"/>
        <v>960263.36791021551</v>
      </c>
      <c r="L74" s="385">
        <f t="shared" si="23"/>
        <v>1685246.994654903</v>
      </c>
      <c r="M74" s="385">
        <f t="shared" si="23"/>
        <v>-3713110.1735324888</v>
      </c>
      <c r="N74" s="385" t="e">
        <f t="shared" si="23"/>
        <v>#DIV/0!</v>
      </c>
      <c r="O74" s="385" t="e">
        <f t="shared" si="23"/>
        <v>#DIV/0!</v>
      </c>
      <c r="P74" s="385" t="e">
        <f t="shared" si="23"/>
        <v>#DIV/0!</v>
      </c>
      <c r="Q74" s="385" t="e">
        <f t="shared" si="23"/>
        <v>#DIV/0!</v>
      </c>
      <c r="R74" s="385" t="e">
        <f t="shared" si="23"/>
        <v>#DIV/0!</v>
      </c>
      <c r="S74" s="385" t="e">
        <f t="shared" si="23"/>
        <v>#DIV/0!</v>
      </c>
    </row>
    <row r="75" spans="1:26">
      <c r="B75" s="386" t="s">
        <v>260</v>
      </c>
      <c r="C75" s="387"/>
      <c r="D75" s="388">
        <f t="shared" ref="D75:S75" si="24">D74/(D29-D28)</f>
        <v>0.26390436807951057</v>
      </c>
      <c r="E75" s="388">
        <f t="shared" si="24"/>
        <v>0.25431854194933329</v>
      </c>
      <c r="F75" s="388">
        <f t="shared" si="24"/>
        <v>0.33337586320788748</v>
      </c>
      <c r="G75" s="388">
        <f t="shared" si="24"/>
        <v>0.15550374011305546</v>
      </c>
      <c r="H75" s="388">
        <f t="shared" si="24"/>
        <v>0.3059007731721996</v>
      </c>
      <c r="I75" s="388">
        <f t="shared" si="24"/>
        <v>0.31905650617006898</v>
      </c>
      <c r="J75" s="388">
        <f t="shared" si="24"/>
        <v>0.2820746389400377</v>
      </c>
      <c r="K75" s="388">
        <f t="shared" si="24"/>
        <v>0.31000762459807052</v>
      </c>
      <c r="L75" s="388">
        <f t="shared" si="24"/>
        <v>0.42327831771716817</v>
      </c>
      <c r="M75" s="388" t="e">
        <f t="shared" si="24"/>
        <v>#DIV/0!</v>
      </c>
      <c r="N75" s="388" t="e">
        <f t="shared" si="24"/>
        <v>#DIV/0!</v>
      </c>
      <c r="O75" s="388" t="e">
        <f t="shared" si="24"/>
        <v>#DIV/0!</v>
      </c>
      <c r="P75" s="388" t="e">
        <f t="shared" si="24"/>
        <v>#DIV/0!</v>
      </c>
      <c r="Q75" s="388" t="e">
        <f t="shared" si="24"/>
        <v>#DIV/0!</v>
      </c>
      <c r="R75" s="388" t="e">
        <f t="shared" si="24"/>
        <v>#DIV/0!</v>
      </c>
      <c r="S75" s="388" t="e">
        <f t="shared" si="24"/>
        <v>#DIV/0!</v>
      </c>
    </row>
    <row r="76" spans="1:26">
      <c r="D76" s="310"/>
      <c r="E76" s="310"/>
      <c r="F76" s="310"/>
      <c r="G76" s="310"/>
      <c r="H76" s="310"/>
      <c r="I76" s="310"/>
      <c r="J76" s="310"/>
      <c r="K76" s="310"/>
      <c r="L76" s="310"/>
      <c r="M76" s="8"/>
      <c r="N76" s="8"/>
      <c r="O76" s="8"/>
      <c r="P76" s="8"/>
      <c r="Q76" s="8"/>
      <c r="R76" s="8"/>
      <c r="S76" s="8"/>
    </row>
    <row r="77" spans="1:26">
      <c r="B77" s="215" t="s">
        <v>25</v>
      </c>
      <c r="C77" s="216"/>
      <c r="D77" s="373">
        <f t="shared" ref="D77:S77" si="25">D43+D49+D59</f>
        <v>204100.37105062374</v>
      </c>
      <c r="E77" s="373">
        <f t="shared" si="25"/>
        <v>217116.3805200003</v>
      </c>
      <c r="F77" s="373">
        <f t="shared" si="25"/>
        <v>516872.40058000002</v>
      </c>
      <c r="G77" s="373">
        <f t="shared" si="25"/>
        <v>110314.63211999938</v>
      </c>
      <c r="H77" s="373">
        <f t="shared" si="25"/>
        <v>593451.60756000038</v>
      </c>
      <c r="I77" s="373">
        <f t="shared" si="25"/>
        <v>657757.05486000027</v>
      </c>
      <c r="J77" s="373">
        <f t="shared" si="25"/>
        <v>558710.5</v>
      </c>
      <c r="K77" s="373">
        <f t="shared" si="25"/>
        <v>780755.33538999979</v>
      </c>
      <c r="L77" s="373">
        <f t="shared" si="25"/>
        <v>1744325.4600000002</v>
      </c>
      <c r="M77" s="217">
        <f t="shared" si="25"/>
        <v>-3818949.1864948748</v>
      </c>
      <c r="N77" s="217" t="e">
        <f t="shared" si="25"/>
        <v>#DIV/0!</v>
      </c>
      <c r="O77" s="217" t="e">
        <f t="shared" si="25"/>
        <v>#DIV/0!</v>
      </c>
      <c r="P77" s="217" t="e">
        <f t="shared" si="25"/>
        <v>#DIV/0!</v>
      </c>
      <c r="Q77" s="217" t="e">
        <f t="shared" si="25"/>
        <v>#DIV/0!</v>
      </c>
      <c r="R77" s="217" t="e">
        <f t="shared" si="25"/>
        <v>#DIV/0!</v>
      </c>
      <c r="S77" s="217" t="e">
        <f t="shared" si="25"/>
        <v>#DIV/0!</v>
      </c>
    </row>
    <row r="78" spans="1:26">
      <c r="B78" s="218" t="s">
        <v>261</v>
      </c>
      <c r="C78" s="219"/>
      <c r="D78" s="374">
        <f t="shared" ref="D78:S78" si="26">D77/D29</f>
        <v>0.16524471158094181</v>
      </c>
      <c r="E78" s="374">
        <f t="shared" si="26"/>
        <v>0.14232508597256657</v>
      </c>
      <c r="F78" s="374">
        <f t="shared" si="26"/>
        <v>0.25934971539797669</v>
      </c>
      <c r="G78" s="374">
        <f t="shared" si="26"/>
        <v>6.6468602310461172E-2</v>
      </c>
      <c r="H78" s="374">
        <f t="shared" si="26"/>
        <v>0.26733273712936551</v>
      </c>
      <c r="I78" s="374">
        <f t="shared" si="26"/>
        <v>0.23296077136385449</v>
      </c>
      <c r="J78" s="374">
        <f t="shared" si="26"/>
        <v>0.18374690958601814</v>
      </c>
      <c r="K78" s="374">
        <f t="shared" si="26"/>
        <v>0.20158509694991214</v>
      </c>
      <c r="L78" s="374">
        <f t="shared" si="26"/>
        <v>0.3034339409955073</v>
      </c>
      <c r="M78" s="220" t="e">
        <f t="shared" si="26"/>
        <v>#DIV/0!</v>
      </c>
      <c r="N78" s="220" t="e">
        <f t="shared" si="26"/>
        <v>#DIV/0!</v>
      </c>
      <c r="O78" s="220" t="e">
        <f t="shared" si="26"/>
        <v>#DIV/0!</v>
      </c>
      <c r="P78" s="220" t="e">
        <f t="shared" si="26"/>
        <v>#DIV/0!</v>
      </c>
      <c r="Q78" s="220" t="e">
        <f t="shared" si="26"/>
        <v>#DIV/0!</v>
      </c>
      <c r="R78" s="220" t="e">
        <f t="shared" si="26"/>
        <v>#DIV/0!</v>
      </c>
      <c r="S78" s="220" t="e">
        <f t="shared" si="26"/>
        <v>#DIV/0!</v>
      </c>
    </row>
    <row r="79" spans="1:26">
      <c r="B79" s="5"/>
      <c r="C79" s="35"/>
      <c r="D79" s="375"/>
      <c r="E79" s="375"/>
      <c r="F79" s="375"/>
      <c r="G79" s="375"/>
      <c r="H79" s="375"/>
      <c r="I79" s="375"/>
      <c r="J79" s="375"/>
      <c r="K79" s="375"/>
      <c r="L79" s="375"/>
      <c r="M79" s="29"/>
      <c r="N79" s="29"/>
      <c r="O79" s="29"/>
      <c r="P79" s="29"/>
      <c r="Q79" s="29"/>
      <c r="R79" s="29"/>
      <c r="S79" s="29"/>
      <c r="U79" s="8"/>
    </row>
    <row r="80" spans="1:26" ht="3.75" customHeight="1">
      <c r="B80" s="26"/>
      <c r="C80" s="27"/>
      <c r="D80" s="376"/>
      <c r="E80" s="376"/>
      <c r="F80" s="376"/>
      <c r="G80" s="376"/>
      <c r="H80" s="376"/>
      <c r="I80" s="376"/>
      <c r="J80" s="376"/>
      <c r="K80" s="376"/>
      <c r="L80" s="376"/>
      <c r="M80" s="140"/>
      <c r="N80" s="140"/>
      <c r="O80" s="140"/>
      <c r="P80" s="140"/>
      <c r="Q80" s="140"/>
      <c r="R80" s="140"/>
      <c r="S80" s="140"/>
    </row>
    <row r="81" spans="1:26">
      <c r="B81" s="5" t="s">
        <v>262</v>
      </c>
      <c r="C81" s="35"/>
      <c r="D81" s="361">
        <v>-24894.50864</v>
      </c>
      <c r="E81" s="361">
        <v>-101725.70627</v>
      </c>
      <c r="F81" s="361">
        <v>-118844.43511000001</v>
      </c>
      <c r="G81" s="361">
        <v>-114475.77890999999</v>
      </c>
      <c r="H81" s="361">
        <v>-92462.040139999997</v>
      </c>
      <c r="I81" s="361">
        <v>-72676</v>
      </c>
      <c r="J81" s="361">
        <v>-144050</v>
      </c>
      <c r="K81" s="361">
        <v>-91577.165449999986</v>
      </c>
      <c r="L81" s="361">
        <v>-271609</v>
      </c>
      <c r="M81" s="40" t="e">
        <f>NOPAT!M21</f>
        <v>#DIV/0!</v>
      </c>
      <c r="N81" s="40" t="e">
        <f>NOPAT!N21</f>
        <v>#DIV/0!</v>
      </c>
      <c r="O81" s="40" t="e">
        <f>NOPAT!O21</f>
        <v>#DIV/0!</v>
      </c>
      <c r="P81" s="40" t="e">
        <f>NOPAT!P21</f>
        <v>#DIV/0!</v>
      </c>
      <c r="Q81" s="40" t="e">
        <f>NOPAT!Q21</f>
        <v>#DIV/0!</v>
      </c>
      <c r="R81" s="40" t="e">
        <f>NOPAT!R21</f>
        <v>#DIV/0!</v>
      </c>
      <c r="S81" s="40" t="e">
        <f>NOPAT!S21</f>
        <v>#DIV/0!</v>
      </c>
    </row>
    <row r="82" spans="1:26">
      <c r="B82" s="5"/>
      <c r="C82" s="35"/>
      <c r="D82" s="361"/>
      <c r="E82" s="361"/>
      <c r="F82" s="361"/>
      <c r="G82" s="361"/>
      <c r="H82" s="361"/>
      <c r="I82" s="361"/>
      <c r="J82" s="361"/>
      <c r="K82" s="361"/>
      <c r="L82" s="361"/>
      <c r="M82" s="40"/>
      <c r="N82" s="40"/>
      <c r="O82" s="40"/>
      <c r="P82" s="40"/>
      <c r="Q82" s="40"/>
      <c r="R82" s="40"/>
      <c r="S82" s="40"/>
    </row>
    <row r="83" spans="1:26">
      <c r="B83" s="34" t="s">
        <v>263</v>
      </c>
      <c r="C83" s="136"/>
      <c r="D83" s="377">
        <f>D77+D81</f>
        <v>179205.86241062375</v>
      </c>
      <c r="E83" s="377">
        <f t="shared" ref="E83:H83" si="27">E77+E81</f>
        <v>115390.6742500003</v>
      </c>
      <c r="F83" s="377">
        <f t="shared" si="27"/>
        <v>398027.96547</v>
      </c>
      <c r="G83" s="377">
        <f t="shared" si="27"/>
        <v>-4161.1467900006101</v>
      </c>
      <c r="H83" s="377">
        <f t="shared" si="27"/>
        <v>500989.56742000039</v>
      </c>
      <c r="I83" s="377">
        <f>I77+I81</f>
        <v>585081.05486000027</v>
      </c>
      <c r="J83" s="377">
        <f t="shared" ref="J83:S83" si="28">J77+J81</f>
        <v>414660.5</v>
      </c>
      <c r="K83" s="377">
        <f t="shared" si="28"/>
        <v>689178.16993999982</v>
      </c>
      <c r="L83" s="377">
        <f t="shared" si="28"/>
        <v>1472716.4600000002</v>
      </c>
      <c r="M83" s="137" t="e">
        <f t="shared" si="28"/>
        <v>#DIV/0!</v>
      </c>
      <c r="N83" s="137" t="e">
        <f t="shared" si="28"/>
        <v>#DIV/0!</v>
      </c>
      <c r="O83" s="137" t="e">
        <f t="shared" si="28"/>
        <v>#DIV/0!</v>
      </c>
      <c r="P83" s="137" t="e">
        <f t="shared" si="28"/>
        <v>#DIV/0!</v>
      </c>
      <c r="Q83" s="137" t="e">
        <f t="shared" si="28"/>
        <v>#DIV/0!</v>
      </c>
      <c r="R83" s="137" t="e">
        <f t="shared" si="28"/>
        <v>#DIV/0!</v>
      </c>
      <c r="S83" s="137" t="e">
        <f t="shared" si="28"/>
        <v>#DIV/0!</v>
      </c>
    </row>
    <row r="84" spans="1:26">
      <c r="B84" s="212" t="s">
        <v>264</v>
      </c>
      <c r="C84" s="213"/>
      <c r="D84" s="378">
        <v>-28980.443676105202</v>
      </c>
      <c r="E84" s="378">
        <v>-18928.793149999998</v>
      </c>
      <c r="F84" s="378">
        <v>-45483.815880000002</v>
      </c>
      <c r="G84" s="378">
        <v>19801.816019999998</v>
      </c>
      <c r="H84" s="378">
        <v>-131728.03724999999</v>
      </c>
      <c r="I84" s="378">
        <v>-178580</v>
      </c>
      <c r="J84" s="378">
        <v>-99620</v>
      </c>
      <c r="K84" s="378">
        <v>-178230.39663999999</v>
      </c>
      <c r="L84" s="378">
        <v>-399285.86</v>
      </c>
      <c r="M84" s="214" t="e">
        <f>(M83*Assumptions!N197)</f>
        <v>#DIV/0!</v>
      </c>
      <c r="N84" s="214" t="e">
        <f>(N83*Assumptions!O197)</f>
        <v>#DIV/0!</v>
      </c>
      <c r="O84" s="214" t="e">
        <f>(O83*Assumptions!P197)</f>
        <v>#DIV/0!</v>
      </c>
      <c r="P84" s="214" t="e">
        <f>(P83*Assumptions!Q197)</f>
        <v>#DIV/0!</v>
      </c>
      <c r="Q84" s="214" t="e">
        <f>(Q83*Assumptions!R197)</f>
        <v>#DIV/0!</v>
      </c>
      <c r="R84" s="214" t="e">
        <f>(R83*Assumptions!S197)</f>
        <v>#DIV/0!</v>
      </c>
      <c r="S84" s="214" t="e">
        <f>(S83*Assumptions!T197)</f>
        <v>#DIV/0!</v>
      </c>
    </row>
    <row r="85" spans="1:26">
      <c r="B85" s="380" t="s">
        <v>265</v>
      </c>
      <c r="C85" s="381"/>
      <c r="D85" s="382">
        <f>D83+D84</f>
        <v>150225.41873451855</v>
      </c>
      <c r="E85" s="382">
        <f t="shared" ref="E85:K85" si="29">E83+E84</f>
        <v>96461.881100000304</v>
      </c>
      <c r="F85" s="382">
        <f t="shared" si="29"/>
        <v>352544.14958999999</v>
      </c>
      <c r="G85" s="382">
        <f>G83+G84</f>
        <v>15640.669229999388</v>
      </c>
      <c r="H85" s="382">
        <f t="shared" si="29"/>
        <v>369261.53017000039</v>
      </c>
      <c r="I85" s="382">
        <f>I83+I84</f>
        <v>406501.05486000027</v>
      </c>
      <c r="J85" s="382">
        <f t="shared" si="29"/>
        <v>315040.5</v>
      </c>
      <c r="K85" s="382">
        <f t="shared" si="29"/>
        <v>510947.77329999983</v>
      </c>
      <c r="L85" s="382">
        <f t="shared" ref="L85:S85" si="30">L83+L84</f>
        <v>1073430.6000000001</v>
      </c>
      <c r="M85" s="382" t="e">
        <f t="shared" si="30"/>
        <v>#DIV/0!</v>
      </c>
      <c r="N85" s="382" t="e">
        <f t="shared" si="30"/>
        <v>#DIV/0!</v>
      </c>
      <c r="O85" s="382" t="e">
        <f t="shared" si="30"/>
        <v>#DIV/0!</v>
      </c>
      <c r="P85" s="382" t="e">
        <f t="shared" si="30"/>
        <v>#DIV/0!</v>
      </c>
      <c r="Q85" s="382" t="e">
        <f t="shared" si="30"/>
        <v>#DIV/0!</v>
      </c>
      <c r="R85" s="382" t="e">
        <f t="shared" si="30"/>
        <v>#DIV/0!</v>
      </c>
      <c r="S85" s="382" t="e">
        <f t="shared" si="30"/>
        <v>#DIV/0!</v>
      </c>
    </row>
    <row r="86" spans="1:26">
      <c r="B86" s="3" t="s">
        <v>266</v>
      </c>
      <c r="D86" s="379">
        <f>D85/D29</f>
        <v>0.12162621686148016</v>
      </c>
      <c r="E86" s="379">
        <f>E85/E29</f>
        <v>6.3233117131705124E-2</v>
      </c>
      <c r="F86" s="379">
        <f>F85/F29</f>
        <v>0.17689515779675802</v>
      </c>
      <c r="G86" s="379">
        <f t="shared" ref="G86:S86" si="31">G85/(G29-G28)</f>
        <v>9.7635434069223148E-3</v>
      </c>
      <c r="H86" s="379">
        <f t="shared" si="31"/>
        <v>0.19873568313760623</v>
      </c>
      <c r="I86" s="379">
        <f t="shared" si="31"/>
        <v>0.19364791280957963</v>
      </c>
      <c r="J86" s="379">
        <f t="shared" si="31"/>
        <v>0.12423215176141503</v>
      </c>
      <c r="K86" s="379">
        <f t="shared" si="31"/>
        <v>0.16495235660100338</v>
      </c>
      <c r="L86" s="379">
        <f t="shared" si="31"/>
        <v>0.26961027077646399</v>
      </c>
      <c r="M86" s="148" t="e">
        <f t="shared" si="31"/>
        <v>#DIV/0!</v>
      </c>
      <c r="N86" s="148" t="e">
        <f t="shared" si="31"/>
        <v>#DIV/0!</v>
      </c>
      <c r="O86" s="148" t="e">
        <f t="shared" si="31"/>
        <v>#DIV/0!</v>
      </c>
      <c r="P86" s="148" t="e">
        <f t="shared" si="31"/>
        <v>#DIV/0!</v>
      </c>
      <c r="Q86" s="148" t="e">
        <f t="shared" si="31"/>
        <v>#DIV/0!</v>
      </c>
      <c r="R86" s="148" t="e">
        <f t="shared" si="31"/>
        <v>#DIV/0!</v>
      </c>
      <c r="S86" s="148" t="e">
        <f t="shared" si="31"/>
        <v>#DIV/0!</v>
      </c>
    </row>
    <row r="87" spans="1:26">
      <c r="D87" s="29"/>
      <c r="E87" s="29"/>
      <c r="F87" s="29"/>
      <c r="G87" s="29"/>
      <c r="H87" s="339"/>
      <c r="I87" s="339"/>
      <c r="J87" s="273"/>
      <c r="K87" s="273"/>
      <c r="L87" s="273"/>
      <c r="M87" s="273"/>
      <c r="N87" s="273"/>
      <c r="O87" s="273"/>
      <c r="P87" s="273"/>
      <c r="Q87" s="273"/>
      <c r="R87" s="273"/>
      <c r="S87" s="273"/>
    </row>
    <row r="88" spans="1:26" customFormat="1" ht="12.75">
      <c r="A88" s="3"/>
      <c r="B88" s="3"/>
      <c r="C88" s="4"/>
      <c r="D88" s="8"/>
      <c r="E88" s="8"/>
      <c r="F88" s="8"/>
      <c r="G88" s="11"/>
      <c r="H88" s="11"/>
      <c r="I88" s="11"/>
      <c r="J88" s="11"/>
      <c r="K88" s="11"/>
      <c r="L88" s="11"/>
      <c r="M88" s="159"/>
      <c r="N88" s="159"/>
      <c r="O88" s="159"/>
      <c r="P88" s="159"/>
      <c r="Q88" s="159"/>
      <c r="R88" s="159"/>
      <c r="S88" s="159"/>
      <c r="T88" s="3"/>
      <c r="U88" s="3"/>
      <c r="V88" s="3"/>
      <c r="W88" s="3"/>
      <c r="X88" s="3"/>
      <c r="Y88" s="3"/>
      <c r="Z88" s="3"/>
    </row>
    <row r="89" spans="1:26" customFormat="1" ht="12.75">
      <c r="A89" s="3"/>
      <c r="B89" s="8"/>
      <c r="C89" s="4"/>
      <c r="D89" s="8"/>
      <c r="E89" s="8"/>
      <c r="F89" s="8"/>
      <c r="G89" s="8"/>
      <c r="H89" s="8"/>
      <c r="I89" s="8"/>
      <c r="J89" s="8"/>
      <c r="K89" s="8"/>
      <c r="L89" s="8"/>
      <c r="M89" s="8"/>
      <c r="N89" s="8"/>
      <c r="O89" s="8"/>
      <c r="P89" s="8"/>
      <c r="Q89" s="8"/>
      <c r="R89" s="8"/>
      <c r="S89" s="8"/>
      <c r="T89" s="3"/>
      <c r="U89" s="3"/>
      <c r="V89" s="3"/>
      <c r="W89" s="3"/>
      <c r="X89" s="3"/>
      <c r="Y89" s="3"/>
      <c r="Z89" s="3"/>
    </row>
    <row r="90" spans="1:26" customFormat="1" ht="12.75">
      <c r="A90" s="3"/>
      <c r="B90" s="3"/>
      <c r="C90" s="4"/>
      <c r="D90" s="8"/>
      <c r="E90" s="267"/>
      <c r="F90" s="267"/>
      <c r="G90" s="267"/>
      <c r="H90" s="274"/>
      <c r="I90" s="274"/>
      <c r="J90" s="8"/>
      <c r="K90" s="8"/>
      <c r="L90" s="8"/>
      <c r="M90" s="8"/>
      <c r="N90" s="8"/>
      <c r="O90" s="8"/>
      <c r="P90" s="8"/>
      <c r="Q90" s="8"/>
      <c r="R90" s="8"/>
      <c r="S90" s="8"/>
      <c r="T90" s="3"/>
      <c r="U90" s="3"/>
      <c r="V90" s="3"/>
      <c r="W90" s="3"/>
      <c r="X90" s="3"/>
      <c r="Y90" s="3"/>
      <c r="Z90" s="3"/>
    </row>
    <row r="91" spans="1:26" customFormat="1" ht="12.75">
      <c r="A91" s="3"/>
      <c r="B91" s="8"/>
      <c r="C91" s="4"/>
      <c r="D91" s="8"/>
      <c r="E91" s="267"/>
      <c r="F91" s="267"/>
      <c r="G91" s="261"/>
      <c r="H91" s="8"/>
      <c r="I91" s="8"/>
      <c r="J91" s="8"/>
      <c r="K91" s="8"/>
      <c r="L91" s="8"/>
      <c r="M91" s="261"/>
      <c r="N91" s="261"/>
      <c r="O91" s="261"/>
      <c r="P91" s="261"/>
      <c r="Q91" s="261"/>
      <c r="R91" s="261"/>
      <c r="S91" s="261"/>
      <c r="T91" s="3"/>
      <c r="U91" s="3"/>
      <c r="V91" s="3"/>
      <c r="W91" s="3"/>
      <c r="X91" s="3"/>
      <c r="Y91" s="3"/>
      <c r="Z91" s="3"/>
    </row>
    <row r="92" spans="1:26" customFormat="1" ht="12.75">
      <c r="A92" s="3"/>
      <c r="B92" s="3"/>
      <c r="C92" s="4"/>
      <c r="D92" s="8"/>
      <c r="E92" s="267"/>
      <c r="F92" s="267"/>
      <c r="G92" s="261"/>
      <c r="H92" s="8"/>
      <c r="I92" s="8"/>
      <c r="J92" s="8"/>
      <c r="K92" s="8"/>
      <c r="L92" s="8"/>
      <c r="M92" s="261"/>
      <c r="N92" s="261"/>
      <c r="O92" s="261"/>
      <c r="P92" s="261"/>
      <c r="Q92" s="261"/>
      <c r="R92" s="261"/>
      <c r="S92" s="261"/>
      <c r="T92" s="3"/>
      <c r="U92" s="3"/>
      <c r="V92" s="3"/>
      <c r="W92" s="3"/>
      <c r="X92" s="3"/>
      <c r="Y92" s="3"/>
      <c r="Z92" s="3"/>
    </row>
    <row r="93" spans="1:26" customFormat="1" ht="12.75">
      <c r="A93" s="3"/>
      <c r="B93" s="8"/>
      <c r="C93" s="4"/>
      <c r="D93" s="8"/>
      <c r="E93" s="8"/>
      <c r="F93" s="8"/>
      <c r="G93" s="8"/>
      <c r="H93" s="8"/>
      <c r="I93" s="8"/>
      <c r="J93" s="8"/>
      <c r="K93" s="8"/>
      <c r="L93" s="8"/>
      <c r="M93" s="8"/>
      <c r="N93" s="8"/>
      <c r="O93" s="8"/>
      <c r="P93" s="8"/>
      <c r="Q93" s="8"/>
      <c r="R93" s="8"/>
      <c r="S93" s="8"/>
      <c r="T93" s="3"/>
      <c r="U93" s="3"/>
      <c r="V93" s="3"/>
      <c r="W93" s="3"/>
      <c r="X93" s="3"/>
      <c r="Y93" s="3"/>
      <c r="Z93" s="3"/>
    </row>
    <row r="94" spans="1:26" hidden="1">
      <c r="D94" s="8"/>
      <c r="E94" s="8"/>
      <c r="F94" s="8"/>
      <c r="G94" s="8"/>
      <c r="H94" s="8"/>
      <c r="I94" s="8"/>
      <c r="J94" s="8"/>
      <c r="K94" s="8"/>
      <c r="L94" s="8"/>
      <c r="M94" s="8"/>
      <c r="N94" s="8"/>
      <c r="O94" s="8"/>
      <c r="P94" s="8"/>
      <c r="Q94" s="8"/>
      <c r="R94" s="8"/>
      <c r="S94" s="8"/>
    </row>
    <row r="95" spans="1:26" hidden="1">
      <c r="B95" s="29"/>
      <c r="C95" s="42"/>
      <c r="D95" s="29" t="s">
        <v>47</v>
      </c>
      <c r="E95" s="29">
        <v>11169</v>
      </c>
      <c r="F95" s="29">
        <v>10998</v>
      </c>
      <c r="G95" s="29"/>
      <c r="H95" s="29"/>
      <c r="I95" s="29"/>
      <c r="J95" s="29"/>
      <c r="K95" s="29"/>
      <c r="L95" s="29"/>
      <c r="M95" s="29"/>
      <c r="N95" s="29"/>
      <c r="O95" s="29"/>
      <c r="P95" s="29"/>
      <c r="Q95" s="29"/>
      <c r="R95" s="29"/>
      <c r="S95" s="29"/>
    </row>
    <row r="96" spans="1:26" hidden="1">
      <c r="D96" s="8"/>
      <c r="E96" s="266">
        <f>E95*17.72%</f>
        <v>1979.1468</v>
      </c>
      <c r="F96" s="266">
        <f>F95*49%</f>
        <v>5389.0199999999995</v>
      </c>
      <c r="G96" s="8"/>
      <c r="H96" s="8"/>
      <c r="I96" s="8"/>
      <c r="J96" s="8"/>
      <c r="K96" s="8"/>
      <c r="L96" s="8"/>
      <c r="M96" s="8"/>
      <c r="N96" s="8"/>
      <c r="O96" s="8"/>
      <c r="P96" s="8"/>
      <c r="Q96" s="8"/>
      <c r="R96" s="8"/>
      <c r="S96" s="8"/>
    </row>
    <row r="97" spans="2:21" hidden="1">
      <c r="B97" s="5"/>
      <c r="C97" s="43"/>
      <c r="D97" s="268" t="s">
        <v>48</v>
      </c>
      <c r="E97" s="130">
        <v>-8650</v>
      </c>
      <c r="F97" s="130">
        <v>-3637</v>
      </c>
      <c r="G97" s="8"/>
      <c r="H97" s="8"/>
      <c r="I97" s="8"/>
      <c r="J97" s="8"/>
      <c r="K97" s="8"/>
      <c r="L97" s="8"/>
      <c r="M97" s="8"/>
      <c r="N97" s="8"/>
      <c r="O97" s="8"/>
      <c r="P97" s="8"/>
      <c r="Q97" s="8"/>
      <c r="R97" s="8"/>
      <c r="S97" s="8"/>
      <c r="T97" s="8"/>
    </row>
    <row r="98" spans="2:21" hidden="1">
      <c r="C98" s="43"/>
      <c r="D98" s="268"/>
      <c r="E98" s="266">
        <f>E97/2</f>
        <v>-4325</v>
      </c>
      <c r="F98" s="266">
        <f>F97/2</f>
        <v>-1818.5</v>
      </c>
      <c r="G98" s="8"/>
      <c r="H98" s="8"/>
      <c r="I98" s="8"/>
      <c r="J98" s="8"/>
      <c r="K98" s="8"/>
      <c r="L98" s="8"/>
      <c r="M98" s="8"/>
      <c r="N98" s="8"/>
      <c r="O98" s="8"/>
      <c r="P98" s="8"/>
      <c r="Q98" s="8"/>
      <c r="R98" s="8"/>
      <c r="S98" s="8"/>
      <c r="T98" s="8"/>
    </row>
    <row r="99" spans="2:21" hidden="1">
      <c r="C99" s="3"/>
      <c r="D99" s="268" t="s">
        <v>49</v>
      </c>
      <c r="E99" s="130">
        <v>12711</v>
      </c>
      <c r="F99" s="130">
        <v>12546</v>
      </c>
      <c r="G99" s="8"/>
    </row>
    <row r="100" spans="2:21" hidden="1">
      <c r="E100" s="266">
        <f>E99/2</f>
        <v>6355.5</v>
      </c>
      <c r="F100" s="266">
        <f>F99/2</f>
        <v>6273</v>
      </c>
      <c r="G100" s="8"/>
    </row>
    <row r="101" spans="2:21">
      <c r="D101" s="44"/>
      <c r="E101" s="130"/>
      <c r="G101" s="8"/>
    </row>
    <row r="102" spans="2:21">
      <c r="G102" s="8"/>
    </row>
    <row r="103" spans="2:21">
      <c r="G103" s="8"/>
    </row>
    <row r="105" spans="2:21">
      <c r="G105" s="8"/>
    </row>
    <row r="106" spans="2:21">
      <c r="G106" s="8"/>
    </row>
    <row r="108" spans="2:21">
      <c r="G108" s="8"/>
    </row>
    <row r="109" spans="2:21">
      <c r="G109" s="8"/>
      <c r="U109" s="8"/>
    </row>
    <row r="110" spans="2:21">
      <c r="U110" s="8"/>
    </row>
    <row r="111" spans="2:21">
      <c r="U111" s="8"/>
    </row>
    <row r="112" spans="2:21">
      <c r="H112" s="8"/>
      <c r="I112" s="8"/>
      <c r="J112" s="8"/>
      <c r="K112" s="8"/>
      <c r="L112" s="8"/>
      <c r="U112" s="8"/>
    </row>
    <row r="113" spans="8:25">
      <c r="H113" s="8"/>
      <c r="I113" s="8"/>
      <c r="J113" s="8"/>
      <c r="K113" s="8"/>
      <c r="L113" s="8"/>
      <c r="U113" s="8"/>
    </row>
    <row r="114" spans="8:25">
      <c r="U114" s="8"/>
    </row>
    <row r="115" spans="8:25">
      <c r="Y115" s="8"/>
    </row>
    <row r="116" spans="8:25">
      <c r="H116" s="8"/>
      <c r="I116" s="8"/>
      <c r="J116" s="8"/>
      <c r="K116" s="8"/>
      <c r="L116" s="8"/>
      <c r="W116" s="9"/>
      <c r="X116" s="10"/>
      <c r="Y116" s="8"/>
    </row>
    <row r="117" spans="8:25">
      <c r="H117" s="8"/>
      <c r="I117" s="8"/>
      <c r="J117" s="8"/>
      <c r="K117" s="8"/>
      <c r="L117" s="8"/>
      <c r="Y117" s="8"/>
    </row>
    <row r="119" spans="8:25">
      <c r="H119" s="8"/>
      <c r="I119" s="8"/>
      <c r="J119" s="8"/>
      <c r="K119" s="8"/>
      <c r="L119" s="8"/>
    </row>
    <row r="120" spans="8:25">
      <c r="H120" s="8"/>
      <c r="I120" s="8"/>
      <c r="J120" s="8"/>
      <c r="K120" s="8"/>
      <c r="L120" s="8"/>
    </row>
    <row r="121" spans="8:25">
      <c r="H121" s="8"/>
      <c r="I121" s="8"/>
      <c r="J121" s="8"/>
      <c r="K121" s="8"/>
      <c r="L121" s="8"/>
    </row>
  </sheetData>
  <sheetProtection selectLockedCells="1" selectUnlockedCells="1"/>
  <phoneticPr fontId="3" type="noConversion"/>
  <pageMargins left="0.78740157499999996" right="0.78740157499999996" top="0.984251969" bottom="0.984251969" header="0.49212598499999999" footer="0.49212598499999999"/>
  <pageSetup paperSize="9" scale="39" orientation="portrait" r:id="rId1"/>
  <headerFooter alignWithMargins="0"/>
  <ignoredErrors>
    <ignoredError sqref="E20 G86" formula="1"/>
  </ignoredError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Plan68"/>
  <dimension ref="B1:T29"/>
  <sheetViews>
    <sheetView showGridLines="0" zoomScaleNormal="100" workbookViewId="0">
      <pane xSplit="3" ySplit="8" topLeftCell="D18" activePane="bottomRight" state="frozen"/>
      <selection pane="topRight" activeCell="D1" sqref="D1"/>
      <selection pane="bottomLeft" activeCell="A9" sqref="A9"/>
      <selection pane="bottomRight" activeCell="M27" sqref="M27"/>
    </sheetView>
  </sheetViews>
  <sheetFormatPr defaultColWidth="0" defaultRowHeight="11.25"/>
  <cols>
    <col min="1" max="1" width="2.140625" style="155" customWidth="1"/>
    <col min="2" max="2" width="2.28515625" style="155" customWidth="1"/>
    <col min="3" max="3" width="31.42578125" style="155" customWidth="1"/>
    <col min="4" max="4" width="11.42578125" style="155" bestFit="1" customWidth="1"/>
    <col min="5" max="19" width="10.5703125" style="155" customWidth="1"/>
    <col min="20" max="20" width="3.28515625" style="155" customWidth="1"/>
    <col min="21" max="16384" width="0" style="155" hidden="1"/>
  </cols>
  <sheetData>
    <row r="1" spans="2:20" s="81" customFormat="1" ht="21.75" customHeight="1">
      <c r="C1" s="154" t="s">
        <v>2</v>
      </c>
      <c r="D1" s="168"/>
      <c r="E1" s="168"/>
      <c r="F1" s="168"/>
      <c r="G1" s="168"/>
      <c r="H1" s="168"/>
      <c r="I1" s="168"/>
      <c r="J1" s="168"/>
      <c r="K1" s="168"/>
      <c r="L1" s="168"/>
      <c r="M1" s="168"/>
      <c r="N1" s="168"/>
      <c r="O1" s="168"/>
      <c r="P1" s="168"/>
      <c r="Q1" s="168"/>
      <c r="R1" s="168"/>
      <c r="S1" s="168"/>
    </row>
    <row r="2" spans="2:20" s="81" customFormat="1" ht="17.25" customHeight="1">
      <c r="C2" s="161" t="s">
        <v>81</v>
      </c>
      <c r="D2" s="168"/>
      <c r="E2" s="168"/>
      <c r="F2" s="168"/>
      <c r="G2" s="168"/>
      <c r="H2" s="168"/>
      <c r="I2" s="168"/>
      <c r="J2" s="169"/>
      <c r="K2" s="169"/>
      <c r="L2" s="169"/>
      <c r="M2" s="169"/>
      <c r="N2" s="169"/>
      <c r="O2" s="169"/>
      <c r="P2" s="169"/>
      <c r="Q2" s="169"/>
      <c r="R2" s="169"/>
      <c r="S2" s="169"/>
    </row>
    <row r="3" spans="2:20" s="81" customFormat="1" ht="24" customHeight="1">
      <c r="C3" s="170"/>
    </row>
    <row r="4" spans="2:20" ht="5.25" customHeight="1">
      <c r="B4" s="162"/>
    </row>
    <row r="5" spans="2:20" s="171" customFormat="1" ht="5.25" customHeight="1">
      <c r="B5" s="162"/>
      <c r="C5" s="165"/>
      <c r="D5" s="1"/>
      <c r="E5" s="1"/>
      <c r="F5" s="1"/>
      <c r="G5" s="1"/>
      <c r="H5" s="1"/>
      <c r="I5" s="1"/>
      <c r="J5" s="1"/>
      <c r="K5" s="1"/>
      <c r="L5" s="1"/>
      <c r="M5" s="1"/>
      <c r="N5" s="1"/>
      <c r="O5" s="1"/>
      <c r="P5" s="1"/>
      <c r="Q5" s="1"/>
      <c r="R5" s="1"/>
      <c r="S5" s="1"/>
    </row>
    <row r="6" spans="2:20" s="539" customFormat="1" ht="12.75" customHeight="1">
      <c r="B6" s="536"/>
      <c r="C6" s="537" t="s">
        <v>267</v>
      </c>
      <c r="D6" s="538">
        <v>2013</v>
      </c>
      <c r="E6" s="538">
        <v>2014</v>
      </c>
      <c r="F6" s="538">
        <v>2015</v>
      </c>
      <c r="G6" s="538">
        <v>2016</v>
      </c>
      <c r="H6" s="538">
        <v>2017</v>
      </c>
      <c r="I6" s="538">
        <v>2018</v>
      </c>
      <c r="J6" s="538">
        <v>2019</v>
      </c>
      <c r="K6" s="538">
        <v>2020</v>
      </c>
      <c r="L6" s="538">
        <v>2021</v>
      </c>
      <c r="M6" s="528">
        <v>2022</v>
      </c>
      <c r="N6" s="528">
        <v>2023</v>
      </c>
      <c r="O6" s="528">
        <v>2024</v>
      </c>
      <c r="P6" s="528">
        <v>2025</v>
      </c>
      <c r="Q6" s="528">
        <v>2026</v>
      </c>
      <c r="R6" s="528">
        <v>2027</v>
      </c>
      <c r="S6" s="528">
        <v>2028</v>
      </c>
    </row>
    <row r="7" spans="2:20" ht="12.75" customHeight="1">
      <c r="C7" s="158" t="s">
        <v>81</v>
      </c>
      <c r="D7" s="406" t="s">
        <v>3</v>
      </c>
      <c r="E7" s="406" t="s">
        <v>3</v>
      </c>
      <c r="F7" s="406" t="s">
        <v>3</v>
      </c>
      <c r="G7" s="406" t="s">
        <v>3</v>
      </c>
      <c r="H7" s="406" t="s">
        <v>3</v>
      </c>
      <c r="I7" s="406" t="s">
        <v>3</v>
      </c>
      <c r="J7" s="406" t="s">
        <v>3</v>
      </c>
      <c r="K7" s="406" t="s">
        <v>3</v>
      </c>
      <c r="L7" s="406" t="s">
        <v>3</v>
      </c>
      <c r="M7" s="56" t="s">
        <v>4</v>
      </c>
      <c r="N7" s="56" t="s">
        <v>4</v>
      </c>
      <c r="O7" s="56" t="s">
        <v>4</v>
      </c>
      <c r="P7" s="56" t="s">
        <v>4</v>
      </c>
      <c r="Q7" s="56" t="s">
        <v>4</v>
      </c>
      <c r="R7" s="56" t="s">
        <v>4</v>
      </c>
      <c r="S7" s="56" t="s">
        <v>4</v>
      </c>
    </row>
    <row r="8" spans="2:20" ht="4.5" customHeight="1">
      <c r="D8" s="407"/>
      <c r="E8" s="407"/>
      <c r="F8" s="407"/>
      <c r="G8" s="407"/>
      <c r="H8" s="407"/>
      <c r="I8" s="407"/>
      <c r="J8" s="407"/>
      <c r="K8" s="407"/>
      <c r="L8" s="407"/>
    </row>
    <row r="9" spans="2:20" ht="7.5" customHeight="1">
      <c r="D9" s="408"/>
      <c r="E9" s="408"/>
      <c r="F9" s="408"/>
      <c r="G9" s="408"/>
      <c r="H9" s="408"/>
      <c r="I9" s="408"/>
      <c r="J9" s="408"/>
      <c r="K9" s="408"/>
      <c r="L9" s="408"/>
      <c r="M9" s="142"/>
      <c r="N9" s="142"/>
      <c r="O9" s="142"/>
      <c r="P9" s="142"/>
      <c r="Q9" s="142"/>
      <c r="R9" s="142"/>
      <c r="S9" s="142"/>
    </row>
    <row r="10" spans="2:20" ht="17.25" customHeight="1">
      <c r="C10" s="284" t="s">
        <v>244</v>
      </c>
      <c r="D10" s="409">
        <f>IS!D29-IS!D28</f>
        <v>1088848.9429399997</v>
      </c>
      <c r="E10" s="409">
        <f>IS!E29-IS!E28</f>
        <v>1362325.6620000002</v>
      </c>
      <c r="F10" s="409">
        <f>IS!F29-IS!F28</f>
        <v>1713124.3413500001</v>
      </c>
      <c r="G10" s="409">
        <f>IS!G29-IS!G28</f>
        <v>1601945.9921599994</v>
      </c>
      <c r="H10" s="409">
        <f>IS!H29-IS!H28</f>
        <v>1858053.4926600005</v>
      </c>
      <c r="I10" s="409">
        <f>IS!I29-IS!I28</f>
        <v>2099176.0198300001</v>
      </c>
      <c r="J10" s="409">
        <f>IS!J29-IS!J28</f>
        <v>2535901.5</v>
      </c>
      <c r="K10" s="409">
        <f>IS!K29-IS!K28</f>
        <v>3097547.5817900002</v>
      </c>
      <c r="L10" s="409">
        <f>IS!L29-IS!L28</f>
        <v>3981415.83</v>
      </c>
      <c r="M10" s="285">
        <f>IS!M29-IS!M28</f>
        <v>0</v>
      </c>
      <c r="N10" s="285" t="e">
        <f>IS!N29-IS!N28</f>
        <v>#DIV/0!</v>
      </c>
      <c r="O10" s="285" t="e">
        <f>IS!O29-IS!O28</f>
        <v>#DIV/0!</v>
      </c>
      <c r="P10" s="285" t="e">
        <f>IS!P29-IS!P28</f>
        <v>#DIV/0!</v>
      </c>
      <c r="Q10" s="285" t="e">
        <f>IS!Q29-IS!Q28</f>
        <v>#DIV/0!</v>
      </c>
      <c r="R10" s="285" t="e">
        <f>IS!R29-IS!R28</f>
        <v>#DIV/0!</v>
      </c>
      <c r="S10" s="285" t="e">
        <f>IS!S29-IS!S28</f>
        <v>#DIV/0!</v>
      </c>
    </row>
    <row r="11" spans="2:20" ht="17.25" customHeight="1">
      <c r="C11" s="284" t="s">
        <v>268</v>
      </c>
      <c r="D11" s="409">
        <f>IS!D39-IS!D37</f>
        <v>-696556.175419376</v>
      </c>
      <c r="E11" s="409">
        <f>IS!D39-IS!D37</f>
        <v>-696556.175419376</v>
      </c>
      <c r="F11" s="409">
        <f>IS!E39-IS!E37</f>
        <v>-880342.05136000004</v>
      </c>
      <c r="G11" s="409">
        <f>IS!F39-IS!F37</f>
        <v>-1002489.3395400001</v>
      </c>
      <c r="H11" s="409">
        <f>IS!H39-IS!H37</f>
        <v>-1130939.03318</v>
      </c>
      <c r="I11" s="409">
        <f>IS!I39-IS!I37</f>
        <v>-1255269.8291070487</v>
      </c>
      <c r="J11" s="409">
        <f>IS!J39-IS!J37</f>
        <v>-1637273</v>
      </c>
      <c r="K11" s="409">
        <f>IS!K39-IS!K37</f>
        <v>-1942764.0486997846</v>
      </c>
      <c r="L11" s="409">
        <f>IS!L39-IS!L37</f>
        <v>-2237488.1221150979</v>
      </c>
      <c r="M11" s="285">
        <f>IS!M39-IS!M37</f>
        <v>-3713110.1735324888</v>
      </c>
      <c r="N11" s="285" t="e">
        <f>IS!N39-IS!N37</f>
        <v>#DIV/0!</v>
      </c>
      <c r="O11" s="285" t="e">
        <f>IS!O39-IS!O37</f>
        <v>#DIV/0!</v>
      </c>
      <c r="P11" s="285" t="e">
        <f>IS!P39-IS!P37</f>
        <v>#DIV/0!</v>
      </c>
      <c r="Q11" s="285" t="e">
        <f>IS!Q39-IS!Q37</f>
        <v>#DIV/0!</v>
      </c>
      <c r="R11" s="285" t="e">
        <f>IS!R39-IS!R37</f>
        <v>#DIV/0!</v>
      </c>
      <c r="S11" s="285" t="e">
        <f>IS!S39-IS!S37</f>
        <v>#DIV/0!</v>
      </c>
    </row>
    <row r="12" spans="2:20" ht="17.25" customHeight="1">
      <c r="C12" s="286" t="s">
        <v>269</v>
      </c>
      <c r="D12" s="410">
        <f>D10+D11</f>
        <v>392292.76752062375</v>
      </c>
      <c r="E12" s="410">
        <f t="shared" ref="E12:S12" si="0">E10+E11</f>
        <v>665769.48658062425</v>
      </c>
      <c r="F12" s="410">
        <f t="shared" si="0"/>
        <v>832782.28999000008</v>
      </c>
      <c r="G12" s="410">
        <f t="shared" si="0"/>
        <v>599456.65261999937</v>
      </c>
      <c r="H12" s="410">
        <f t="shared" si="0"/>
        <v>727114.45948000043</v>
      </c>
      <c r="I12" s="410">
        <f>I10+I11</f>
        <v>843906.19072295143</v>
      </c>
      <c r="J12" s="410">
        <f t="shared" si="0"/>
        <v>898628.5</v>
      </c>
      <c r="K12" s="410">
        <f t="shared" si="0"/>
        <v>1154783.5330902156</v>
      </c>
      <c r="L12" s="410">
        <f t="shared" si="0"/>
        <v>1743927.7078849021</v>
      </c>
      <c r="M12" s="287">
        <f t="shared" si="0"/>
        <v>-3713110.1735324888</v>
      </c>
      <c r="N12" s="287" t="e">
        <f t="shared" si="0"/>
        <v>#DIV/0!</v>
      </c>
      <c r="O12" s="287" t="e">
        <f t="shared" si="0"/>
        <v>#DIV/0!</v>
      </c>
      <c r="P12" s="287" t="e">
        <f t="shared" si="0"/>
        <v>#DIV/0!</v>
      </c>
      <c r="Q12" s="287" t="e">
        <f t="shared" si="0"/>
        <v>#DIV/0!</v>
      </c>
      <c r="R12" s="287" t="e">
        <f t="shared" si="0"/>
        <v>#DIV/0!</v>
      </c>
      <c r="S12" s="287" t="e">
        <f t="shared" si="0"/>
        <v>#DIV/0!</v>
      </c>
    </row>
    <row r="13" spans="2:20" ht="17.25" customHeight="1">
      <c r="C13" s="284" t="s">
        <v>64</v>
      </c>
      <c r="D13" s="411">
        <f>IS!D46+IS!D52+IS!D54+IS!D57</f>
        <v>-104940.77529999999</v>
      </c>
      <c r="E13" s="411">
        <f>IS!E46+IS!E52+IS!E54+IS!E57</f>
        <v>-135518.93462000001</v>
      </c>
      <c r="F13" s="411">
        <f>IS!F46+IS!F52+IS!F54+IS!F57</f>
        <v>-139520.69573000001</v>
      </c>
      <c r="G13" s="411">
        <f>IS!G46+IS!G52+IS!G54+IS!G57</f>
        <v>-128559.05590000004</v>
      </c>
      <c r="H13" s="411">
        <f>IS!H46+IS!H52+IS!H54+IS!H57</f>
        <v>-162370.16882999998</v>
      </c>
      <c r="I13" s="411">
        <f>IS!I46+IS!I52+IS!I54+IS!I57</f>
        <v>-179933.50400000002</v>
      </c>
      <c r="J13" s="411">
        <f>IS!J46+IS!J52+IS!J54+IS!J57</f>
        <v>-236740</v>
      </c>
      <c r="K13" s="411">
        <f>IS!K46+IS!K52+IS!K54+IS!K57</f>
        <v>-279116.16518000001</v>
      </c>
      <c r="L13" s="411">
        <f>IS!L46+IS!L52+IS!L54+IS!L57</f>
        <v>-281999.38323000004</v>
      </c>
      <c r="M13" s="288">
        <f>IS!M46+IS!M52+IS!M54+IS!M57</f>
        <v>0</v>
      </c>
      <c r="N13" s="288" t="e">
        <f>IS!N46+IS!N52+IS!N54+IS!N57</f>
        <v>#DIV/0!</v>
      </c>
      <c r="O13" s="288" t="e">
        <f>IS!O46+IS!O52+IS!O54+IS!O57</f>
        <v>#DIV/0!</v>
      </c>
      <c r="P13" s="288" t="e">
        <f>IS!P46+IS!P52+IS!P54+IS!P57</f>
        <v>#DIV/0!</v>
      </c>
      <c r="Q13" s="288" t="e">
        <f>IS!Q46+IS!Q52+IS!Q54+IS!Q57</f>
        <v>#DIV/0!</v>
      </c>
      <c r="R13" s="288" t="e">
        <f>IS!R46+IS!R52+IS!R54+IS!R57</f>
        <v>#DIV/0!</v>
      </c>
      <c r="S13" s="288" t="e">
        <f>IS!S46+IS!S52+IS!S54+IS!S57</f>
        <v>#DIV/0!</v>
      </c>
    </row>
    <row r="14" spans="2:20" ht="17.25" customHeight="1">
      <c r="C14" s="286" t="s">
        <v>84</v>
      </c>
      <c r="D14" s="410">
        <f>D12+D13</f>
        <v>287351.99222062377</v>
      </c>
      <c r="E14" s="410">
        <f t="shared" ref="E14:S14" si="1">E12+E13</f>
        <v>530250.55196062429</v>
      </c>
      <c r="F14" s="410">
        <f t="shared" si="1"/>
        <v>693261.59426000004</v>
      </c>
      <c r="G14" s="410">
        <f t="shared" si="1"/>
        <v>470897.59671999933</v>
      </c>
      <c r="H14" s="410">
        <f t="shared" si="1"/>
        <v>564744.29065000045</v>
      </c>
      <c r="I14" s="410">
        <f>I12+I13</f>
        <v>663972.68672295148</v>
      </c>
      <c r="J14" s="410">
        <f>J12+J13</f>
        <v>661888.5</v>
      </c>
      <c r="K14" s="410">
        <f t="shared" si="1"/>
        <v>875667.36791021563</v>
      </c>
      <c r="L14" s="410">
        <f t="shared" si="1"/>
        <v>1461928.3246549021</v>
      </c>
      <c r="M14" s="287">
        <f t="shared" si="1"/>
        <v>-3713110.1735324888</v>
      </c>
      <c r="N14" s="287" t="e">
        <f t="shared" si="1"/>
        <v>#DIV/0!</v>
      </c>
      <c r="O14" s="287" t="e">
        <f t="shared" si="1"/>
        <v>#DIV/0!</v>
      </c>
      <c r="P14" s="287" t="e">
        <f t="shared" si="1"/>
        <v>#DIV/0!</v>
      </c>
      <c r="Q14" s="287" t="e">
        <f t="shared" si="1"/>
        <v>#DIV/0!</v>
      </c>
      <c r="R14" s="287" t="e">
        <f t="shared" si="1"/>
        <v>#DIV/0!</v>
      </c>
      <c r="S14" s="287" t="e">
        <f t="shared" si="1"/>
        <v>#DIV/0!</v>
      </c>
      <c r="T14" s="287"/>
    </row>
    <row r="15" spans="2:20" ht="17.25" customHeight="1">
      <c r="C15" s="284" t="s">
        <v>270</v>
      </c>
      <c r="D15" s="411">
        <v>-24556</v>
      </c>
      <c r="E15" s="411">
        <v>-35712</v>
      </c>
      <c r="F15" s="411">
        <v>-26208</v>
      </c>
      <c r="G15" s="411">
        <v>-21758</v>
      </c>
      <c r="H15" s="411">
        <v>-12891</v>
      </c>
      <c r="I15" s="411">
        <v>-80106</v>
      </c>
      <c r="J15" s="411">
        <v>-31839</v>
      </c>
      <c r="K15" s="411">
        <v>-99255</v>
      </c>
      <c r="L15" s="411">
        <v>-171484</v>
      </c>
      <c r="M15" s="288">
        <f>(IS!M77)*Assumptions!N197*Assumptions!N225</f>
        <v>0</v>
      </c>
      <c r="N15" s="288" t="e">
        <f>(IS!N77)*Assumptions!O197*Assumptions!O225</f>
        <v>#DIV/0!</v>
      </c>
      <c r="O15" s="288" t="e">
        <f>(IS!O77)*Assumptions!P197*Assumptions!P225</f>
        <v>#DIV/0!</v>
      </c>
      <c r="P15" s="288" t="e">
        <f>(IS!P77)*Assumptions!Q197*Assumptions!Q225</f>
        <v>#DIV/0!</v>
      </c>
      <c r="Q15" s="288" t="e">
        <f>(IS!Q77)*Assumptions!R197*Assumptions!R225</f>
        <v>#DIV/0!</v>
      </c>
      <c r="R15" s="288" t="e">
        <f>(IS!R77)*Assumptions!S197*Assumptions!S225</f>
        <v>#DIV/0!</v>
      </c>
      <c r="S15" s="288" t="e">
        <f>(IS!S77)*Assumptions!T197*Assumptions!T225</f>
        <v>#DIV/0!</v>
      </c>
      <c r="T15" s="288"/>
    </row>
    <row r="16" spans="2:20" ht="17.25" customHeight="1">
      <c r="C16" s="286" t="s">
        <v>271</v>
      </c>
      <c r="D16" s="410">
        <f>D14+D15</f>
        <v>262795.99222062377</v>
      </c>
      <c r="E16" s="410">
        <f t="shared" ref="E16:S16" si="2">E14+E15</f>
        <v>494538.55196062429</v>
      </c>
      <c r="F16" s="410">
        <f t="shared" si="2"/>
        <v>667053.59426000004</v>
      </c>
      <c r="G16" s="410">
        <f t="shared" si="2"/>
        <v>449139.59671999933</v>
      </c>
      <c r="H16" s="410">
        <f t="shared" si="2"/>
        <v>551853.29065000045</v>
      </c>
      <c r="I16" s="410">
        <f>I14+I15</f>
        <v>583866.68672295148</v>
      </c>
      <c r="J16" s="410">
        <f>J14+J15</f>
        <v>630049.5</v>
      </c>
      <c r="K16" s="410">
        <f t="shared" si="2"/>
        <v>776412.36791021563</v>
      </c>
      <c r="L16" s="410">
        <f t="shared" si="2"/>
        <v>1290444.3246549021</v>
      </c>
      <c r="M16" s="287">
        <f t="shared" si="2"/>
        <v>-3713110.1735324888</v>
      </c>
      <c r="N16" s="287" t="e">
        <f t="shared" si="2"/>
        <v>#DIV/0!</v>
      </c>
      <c r="O16" s="287" t="e">
        <f t="shared" si="2"/>
        <v>#DIV/0!</v>
      </c>
      <c r="P16" s="287" t="e">
        <f t="shared" si="2"/>
        <v>#DIV/0!</v>
      </c>
      <c r="Q16" s="287" t="e">
        <f t="shared" si="2"/>
        <v>#DIV/0!</v>
      </c>
      <c r="R16" s="287" t="e">
        <f t="shared" si="2"/>
        <v>#DIV/0!</v>
      </c>
      <c r="S16" s="287" t="e">
        <f t="shared" si="2"/>
        <v>#DIV/0!</v>
      </c>
    </row>
    <row r="17" spans="3:19" ht="17.25" customHeight="1">
      <c r="C17" s="284" t="s">
        <v>65</v>
      </c>
      <c r="D17" s="411">
        <v>-243778</v>
      </c>
      <c r="E17" s="411">
        <v>-189147</v>
      </c>
      <c r="F17" s="411">
        <v>-200013</v>
      </c>
      <c r="G17" s="411">
        <v>-77987</v>
      </c>
      <c r="H17" s="411">
        <v>-137072</v>
      </c>
      <c r="I17" s="411">
        <v>-256320</v>
      </c>
      <c r="J17" s="411">
        <v>-276531</v>
      </c>
      <c r="K17" s="411">
        <v>-234246</v>
      </c>
      <c r="L17" s="411">
        <v>-554734</v>
      </c>
      <c r="M17" s="285">
        <f>-IS!L71*Assumptions!N174</f>
        <v>0</v>
      </c>
      <c r="N17" s="285">
        <f>-IS!M71*Assumptions!O174</f>
        <v>0</v>
      </c>
      <c r="O17" s="285" t="e">
        <f>-IS!N71*Assumptions!P174</f>
        <v>#DIV/0!</v>
      </c>
      <c r="P17" s="285" t="e">
        <f>-IS!O71*Assumptions!Q174</f>
        <v>#DIV/0!</v>
      </c>
      <c r="Q17" s="285" t="e">
        <f>-IS!P71*Assumptions!R174</f>
        <v>#DIV/0!</v>
      </c>
      <c r="R17" s="285" t="e">
        <f>-IS!Q71*Assumptions!S174</f>
        <v>#DIV/0!</v>
      </c>
      <c r="S17" s="285" t="e">
        <f>-IS!R71*Assumptions!T174</f>
        <v>#DIV/0!</v>
      </c>
    </row>
    <row r="18" spans="3:19" ht="17.25" customHeight="1">
      <c r="C18" s="284" t="s">
        <v>272</v>
      </c>
      <c r="D18" s="411">
        <f>WC!E31</f>
        <v>-14454</v>
      </c>
      <c r="E18" s="411">
        <f>WC!F31</f>
        <v>-92678</v>
      </c>
      <c r="F18" s="411">
        <f>WC!G31</f>
        <v>-59080</v>
      </c>
      <c r="G18" s="411">
        <f>WC!H31</f>
        <v>232060</v>
      </c>
      <c r="H18" s="411">
        <f>WC!I31</f>
        <v>46627.632999999914</v>
      </c>
      <c r="I18" s="411">
        <f>WC!J31</f>
        <v>-197152.91813000012</v>
      </c>
      <c r="J18" s="411">
        <v>-201445</v>
      </c>
      <c r="K18" s="411">
        <f>WC!L31</f>
        <v>-100997.59109</v>
      </c>
      <c r="L18" s="411">
        <f>WC!M31</f>
        <v>-50516.199649999617</v>
      </c>
      <c r="M18" s="288" t="e">
        <f>WC!N31</f>
        <v>#DIV/0!</v>
      </c>
      <c r="N18" s="288" t="e">
        <f>WC!O31</f>
        <v>#DIV/0!</v>
      </c>
      <c r="O18" s="288" t="e">
        <f>WC!P31</f>
        <v>#DIV/0!</v>
      </c>
      <c r="P18" s="288" t="e">
        <f>WC!Q31</f>
        <v>#DIV/0!</v>
      </c>
      <c r="Q18" s="288" t="e">
        <f>WC!R31</f>
        <v>#DIV/0!</v>
      </c>
      <c r="R18" s="288" t="e">
        <f>WC!S31</f>
        <v>#DIV/0!</v>
      </c>
      <c r="S18" s="288" t="e">
        <f>WC!T31</f>
        <v>#DIV/0!</v>
      </c>
    </row>
    <row r="19" spans="3:19" ht="17.25" customHeight="1">
      <c r="C19" s="284" t="s">
        <v>273</v>
      </c>
      <c r="D19" s="411">
        <v>0</v>
      </c>
      <c r="E19" s="411">
        <v>0</v>
      </c>
      <c r="F19" s="411">
        <v>0</v>
      </c>
      <c r="G19" s="411">
        <v>0</v>
      </c>
      <c r="H19" s="411">
        <v>0</v>
      </c>
      <c r="I19" s="411">
        <f>'Land Sales and Purchase'!I13-'Land Sales and Purchase'!I18</f>
        <v>0</v>
      </c>
      <c r="J19" s="411">
        <f>'Land Sales and Purchase'!J13-'Land Sales and Purchase'!J18</f>
        <v>0</v>
      </c>
      <c r="K19" s="411">
        <f>'Land Sales and Purchase'!K13-'Land Sales and Purchase'!K18</f>
        <v>0</v>
      </c>
      <c r="L19" s="411">
        <f>'Land Sales and Purchase'!L13-'Land Sales and Purchase'!L18</f>
        <v>0</v>
      </c>
      <c r="M19" s="288">
        <f>'Land Sales and Purchase'!M13-'Land Sales and Purchase'!M18</f>
        <v>0</v>
      </c>
      <c r="N19" s="288">
        <f>'Land Sales and Purchase'!N13-'Land Sales and Purchase'!N18</f>
        <v>0</v>
      </c>
      <c r="O19" s="288">
        <f>'Land Sales and Purchase'!O13-'Land Sales and Purchase'!O18</f>
        <v>0</v>
      </c>
      <c r="P19" s="288">
        <f>'Land Sales and Purchase'!P13-'Land Sales and Purchase'!P18</f>
        <v>0</v>
      </c>
      <c r="Q19" s="288">
        <f>'Land Sales and Purchase'!Q13-'Land Sales and Purchase'!Q18</f>
        <v>0</v>
      </c>
      <c r="R19" s="288">
        <f>'Land Sales and Purchase'!R13-'Land Sales and Purchase'!R18</f>
        <v>0</v>
      </c>
      <c r="S19" s="288">
        <f>'Land Sales and Purchase'!S13-'Land Sales and Purchase'!S18</f>
        <v>0</v>
      </c>
    </row>
    <row r="20" spans="3:19" ht="17.25" customHeight="1">
      <c r="C20" s="289" t="s">
        <v>274</v>
      </c>
      <c r="D20" s="412">
        <f t="shared" ref="D20:J20" si="3">D16+D17+D18+D19</f>
        <v>4563.9922206237679</v>
      </c>
      <c r="E20" s="412">
        <f t="shared" si="3"/>
        <v>212713.55196062429</v>
      </c>
      <c r="F20" s="412">
        <f t="shared" si="3"/>
        <v>407960.59426000004</v>
      </c>
      <c r="G20" s="412">
        <f t="shared" si="3"/>
        <v>603212.59671999933</v>
      </c>
      <c r="H20" s="412">
        <f t="shared" si="3"/>
        <v>461408.92365000036</v>
      </c>
      <c r="I20" s="412">
        <f t="shared" si="3"/>
        <v>130393.76859295135</v>
      </c>
      <c r="J20" s="412">
        <f t="shared" si="3"/>
        <v>152073.5</v>
      </c>
      <c r="K20" s="412">
        <f t="shared" ref="K20:S20" si="4">K16+K17+K18+K19</f>
        <v>441168.77682021563</v>
      </c>
      <c r="L20" s="412">
        <f t="shared" si="4"/>
        <v>685194.12500490248</v>
      </c>
      <c r="M20" s="291" t="e">
        <f t="shared" si="4"/>
        <v>#DIV/0!</v>
      </c>
      <c r="N20" s="291" t="e">
        <f t="shared" si="4"/>
        <v>#DIV/0!</v>
      </c>
      <c r="O20" s="291" t="e">
        <f t="shared" si="4"/>
        <v>#DIV/0!</v>
      </c>
      <c r="P20" s="291" t="e">
        <f t="shared" si="4"/>
        <v>#DIV/0!</v>
      </c>
      <c r="Q20" s="291" t="e">
        <f t="shared" si="4"/>
        <v>#DIV/0!</v>
      </c>
      <c r="R20" s="291" t="e">
        <f t="shared" si="4"/>
        <v>#DIV/0!</v>
      </c>
      <c r="S20" s="291" t="e">
        <f t="shared" si="4"/>
        <v>#DIV/0!</v>
      </c>
    </row>
    <row r="21" spans="3:19" ht="17.25" customHeight="1">
      <c r="C21" s="284" t="s">
        <v>275</v>
      </c>
      <c r="D21" s="409">
        <v>-65019</v>
      </c>
      <c r="E21" s="409">
        <v>-91619</v>
      </c>
      <c r="F21" s="409">
        <v>-88370</v>
      </c>
      <c r="G21" s="409">
        <v>-131339</v>
      </c>
      <c r="H21" s="409">
        <v>-186380</v>
      </c>
      <c r="I21" s="409">
        <v>-98982</v>
      </c>
      <c r="J21" s="409">
        <v>-86852</v>
      </c>
      <c r="K21" s="409">
        <v>-93685</v>
      </c>
      <c r="L21" s="409">
        <v>-105946</v>
      </c>
      <c r="M21" s="521" t="e">
        <f>-(L27-M20-M23)*Assumptions!N192</f>
        <v>#DIV/0!</v>
      </c>
      <c r="N21" s="521" t="e">
        <f>-(M27-N20-N23)*Assumptions!O192</f>
        <v>#DIV/0!</v>
      </c>
      <c r="O21" s="521" t="e">
        <f>-(N27-O20-O23)*Assumptions!P192</f>
        <v>#DIV/0!</v>
      </c>
      <c r="P21" s="521" t="e">
        <f>-(O27-P20-P23)*Assumptions!Q192</f>
        <v>#DIV/0!</v>
      </c>
      <c r="Q21" s="521" t="e">
        <f>-(P27-Q20-Q23)*Assumptions!R192</f>
        <v>#DIV/0!</v>
      </c>
      <c r="R21" s="521" t="e">
        <f>-(Q27-R20-R23)*Assumptions!S192</f>
        <v>#DIV/0!</v>
      </c>
      <c r="S21" s="521" t="e">
        <f>-(R27-S20-S23)*Assumptions!T192</f>
        <v>#DIV/0!</v>
      </c>
    </row>
    <row r="22" spans="3:19" ht="17.25" customHeight="1">
      <c r="C22" s="289" t="s">
        <v>276</v>
      </c>
      <c r="D22" s="414">
        <f t="shared" ref="D22:S22" si="5">D20+D21</f>
        <v>-60455.007779376232</v>
      </c>
      <c r="E22" s="414">
        <f t="shared" si="5"/>
        <v>121094.55196062429</v>
      </c>
      <c r="F22" s="414">
        <f t="shared" si="5"/>
        <v>319590.59426000004</v>
      </c>
      <c r="G22" s="414">
        <f t="shared" si="5"/>
        <v>471873.59671999933</v>
      </c>
      <c r="H22" s="414">
        <f t="shared" si="5"/>
        <v>275028.92365000036</v>
      </c>
      <c r="I22" s="414">
        <f t="shared" si="5"/>
        <v>31411.768592951354</v>
      </c>
      <c r="J22" s="414">
        <f t="shared" si="5"/>
        <v>65221.5</v>
      </c>
      <c r="K22" s="414">
        <f t="shared" si="5"/>
        <v>347483.77682021563</v>
      </c>
      <c r="L22" s="414">
        <f t="shared" si="5"/>
        <v>579248.12500490248</v>
      </c>
      <c r="M22" s="493" t="e">
        <f t="shared" si="5"/>
        <v>#DIV/0!</v>
      </c>
      <c r="N22" s="493" t="e">
        <f t="shared" si="5"/>
        <v>#DIV/0!</v>
      </c>
      <c r="O22" s="493" t="e">
        <f t="shared" si="5"/>
        <v>#DIV/0!</v>
      </c>
      <c r="P22" s="493" t="e">
        <f t="shared" si="5"/>
        <v>#DIV/0!</v>
      </c>
      <c r="Q22" s="493" t="e">
        <f t="shared" si="5"/>
        <v>#DIV/0!</v>
      </c>
      <c r="R22" s="493" t="e">
        <f t="shared" si="5"/>
        <v>#DIV/0!</v>
      </c>
      <c r="S22" s="493" t="e">
        <f t="shared" si="5"/>
        <v>#DIV/0!</v>
      </c>
    </row>
    <row r="23" spans="3:19" ht="17.25" customHeight="1">
      <c r="C23" s="284" t="s">
        <v>277</v>
      </c>
      <c r="D23" s="409">
        <v>-15242</v>
      </c>
      <c r="E23" s="409">
        <v>-38200</v>
      </c>
      <c r="F23" s="409">
        <v>-27884</v>
      </c>
      <c r="G23" s="409">
        <v>-58201</v>
      </c>
      <c r="H23" s="409">
        <v>-214221</v>
      </c>
      <c r="I23" s="409">
        <v>-211096</v>
      </c>
      <c r="J23" s="409">
        <v>-181243</v>
      </c>
      <c r="K23" s="409">
        <v>-179843</v>
      </c>
      <c r="L23" s="409">
        <v>-205339</v>
      </c>
      <c r="M23" s="285">
        <f>IS!L85*-NOPAT!M24</f>
        <v>0</v>
      </c>
      <c r="N23" s="285" t="e">
        <f>IS!M85*-NOPAT!N24</f>
        <v>#DIV/0!</v>
      </c>
      <c r="O23" s="285" t="e">
        <f>IS!N85*-NOPAT!O24</f>
        <v>#DIV/0!</v>
      </c>
      <c r="P23" s="285" t="e">
        <f>IS!O85*-NOPAT!P24</f>
        <v>#DIV/0!</v>
      </c>
      <c r="Q23" s="285" t="e">
        <f>IS!P85*-NOPAT!Q24</f>
        <v>#DIV/0!</v>
      </c>
      <c r="R23" s="285" t="e">
        <f>IS!Q85*-NOPAT!R24</f>
        <v>#DIV/0!</v>
      </c>
      <c r="S23" s="285" t="e">
        <f>IS!R85*-NOPAT!S24</f>
        <v>#DIV/0!</v>
      </c>
    </row>
    <row r="24" spans="3:19" ht="17.25" customHeight="1">
      <c r="C24" s="355" t="s">
        <v>162</v>
      </c>
      <c r="D24" s="413">
        <f>Assumptions!E226</f>
        <v>0.4</v>
      </c>
      <c r="E24" s="413">
        <f>Assumptions!F226</f>
        <v>0.4</v>
      </c>
      <c r="F24" s="413">
        <f>Assumptions!G226</f>
        <v>0.4</v>
      </c>
      <c r="G24" s="413">
        <f>Assumptions!H226</f>
        <v>0.48</v>
      </c>
      <c r="H24" s="413">
        <f>Assumptions!I226</f>
        <v>0.57999999999999996</v>
      </c>
      <c r="I24" s="413">
        <f>Assumptions!J226</f>
        <v>0.5</v>
      </c>
      <c r="J24" s="413">
        <f>Assumptions!K226</f>
        <v>0.5</v>
      </c>
      <c r="K24" s="413">
        <f>Assumptions!L226</f>
        <v>0.5</v>
      </c>
      <c r="L24" s="413">
        <f>Assumptions!M226</f>
        <v>0.5</v>
      </c>
      <c r="M24" s="356">
        <f>Assumptions!N226</f>
        <v>0</v>
      </c>
      <c r="N24" s="356">
        <f>Assumptions!O226</f>
        <v>0</v>
      </c>
      <c r="O24" s="356">
        <f>Assumptions!P226</f>
        <v>0</v>
      </c>
      <c r="P24" s="356">
        <f>Assumptions!Q226</f>
        <v>0</v>
      </c>
      <c r="Q24" s="356">
        <f>Assumptions!R226</f>
        <v>0</v>
      </c>
      <c r="R24" s="356">
        <f>Assumptions!S226</f>
        <v>0</v>
      </c>
      <c r="S24" s="356">
        <f>Assumptions!T226</f>
        <v>0</v>
      </c>
    </row>
    <row r="25" spans="3:19" ht="17.25" customHeight="1">
      <c r="C25" s="289" t="s">
        <v>278</v>
      </c>
      <c r="D25" s="414">
        <f>D22+D23</f>
        <v>-75697.007779376232</v>
      </c>
      <c r="E25" s="414">
        <f t="shared" ref="E25:S25" si="6">E22+E23</f>
        <v>82894.551960624289</v>
      </c>
      <c r="F25" s="414">
        <f t="shared" si="6"/>
        <v>291706.59426000004</v>
      </c>
      <c r="G25" s="414">
        <f t="shared" si="6"/>
        <v>413672.59671999933</v>
      </c>
      <c r="H25" s="414">
        <f t="shared" si="6"/>
        <v>60807.923650000361</v>
      </c>
      <c r="I25" s="414">
        <f t="shared" si="6"/>
        <v>-179684.23140704865</v>
      </c>
      <c r="J25" s="414">
        <f t="shared" si="6"/>
        <v>-116021.5</v>
      </c>
      <c r="K25" s="414">
        <f t="shared" si="6"/>
        <v>167640.77682021563</v>
      </c>
      <c r="L25" s="414">
        <f t="shared" si="6"/>
        <v>373909.12500490248</v>
      </c>
      <c r="M25" s="493" t="e">
        <f t="shared" si="6"/>
        <v>#DIV/0!</v>
      </c>
      <c r="N25" s="493" t="e">
        <f t="shared" si="6"/>
        <v>#DIV/0!</v>
      </c>
      <c r="O25" s="493" t="e">
        <f t="shared" si="6"/>
        <v>#DIV/0!</v>
      </c>
      <c r="P25" s="493" t="e">
        <f t="shared" si="6"/>
        <v>#DIV/0!</v>
      </c>
      <c r="Q25" s="493" t="e">
        <f t="shared" si="6"/>
        <v>#DIV/0!</v>
      </c>
      <c r="R25" s="493" t="e">
        <f t="shared" si="6"/>
        <v>#DIV/0!</v>
      </c>
      <c r="S25" s="493" t="e">
        <f t="shared" si="6"/>
        <v>#DIV/0!</v>
      </c>
    </row>
    <row r="26" spans="3:19">
      <c r="D26" s="142"/>
      <c r="E26" s="142"/>
      <c r="F26" s="142"/>
      <c r="G26" s="142"/>
      <c r="H26" s="142"/>
      <c r="I26" s="142"/>
      <c r="J26" s="142"/>
    </row>
    <row r="27" spans="3:19" ht="18" customHeight="1">
      <c r="C27" s="295" t="s">
        <v>279</v>
      </c>
      <c r="D27" s="296">
        <v>777312</v>
      </c>
      <c r="E27" s="296">
        <v>960014</v>
      </c>
      <c r="F27" s="296">
        <v>1093756</v>
      </c>
      <c r="G27" s="296">
        <v>852854</v>
      </c>
      <c r="H27" s="296">
        <v>828788</v>
      </c>
      <c r="I27" s="296">
        <v>943039</v>
      </c>
      <c r="J27" s="296">
        <v>973737</v>
      </c>
      <c r="K27" s="297">
        <v>708479</v>
      </c>
      <c r="L27" s="297">
        <v>2393081</v>
      </c>
      <c r="M27" s="297" t="e">
        <f t="shared" ref="M27:S27" si="7">L27-M25</f>
        <v>#DIV/0!</v>
      </c>
      <c r="N27" s="297" t="e">
        <f t="shared" si="7"/>
        <v>#DIV/0!</v>
      </c>
      <c r="O27" s="297" t="e">
        <f t="shared" si="7"/>
        <v>#DIV/0!</v>
      </c>
      <c r="P27" s="297" t="e">
        <f t="shared" si="7"/>
        <v>#DIV/0!</v>
      </c>
      <c r="Q27" s="297" t="e">
        <f t="shared" si="7"/>
        <v>#DIV/0!</v>
      </c>
      <c r="R27" s="297" t="e">
        <f t="shared" si="7"/>
        <v>#DIV/0!</v>
      </c>
      <c r="S27" s="297" t="e">
        <f t="shared" si="7"/>
        <v>#DIV/0!</v>
      </c>
    </row>
    <row r="28" spans="3:19" ht="18" customHeight="1">
      <c r="C28" s="295" t="s">
        <v>280</v>
      </c>
      <c r="D28" s="420">
        <f>D27/IS!D71</f>
        <v>2.7050865177339496</v>
      </c>
      <c r="E28" s="420">
        <f>E27/IS!E71</f>
        <v>2.7708856528409305</v>
      </c>
      <c r="F28" s="420">
        <f>F27/IS!F71</f>
        <v>1.9151262511830511</v>
      </c>
      <c r="G28" s="420">
        <f>G27/IS!G71</f>
        <v>3.4236233640416116</v>
      </c>
      <c r="H28" s="420">
        <f>H27/IS!H71</f>
        <v>1.1221290357280413</v>
      </c>
      <c r="I28" s="420">
        <f>I27/IS!I71</f>
        <v>1.4080341623845907</v>
      </c>
      <c r="J28" s="420">
        <f>J27/IS!J71</f>
        <v>1.2240250251250597</v>
      </c>
      <c r="K28" s="420">
        <f>K27/IS!K71</f>
        <v>0.73779655006712974</v>
      </c>
      <c r="L28" s="420">
        <f>L27/IS!L71</f>
        <v>1.4200179603287433</v>
      </c>
      <c r="M28" s="420" t="e">
        <f>M27/IS!M71</f>
        <v>#DIV/0!</v>
      </c>
      <c r="N28" s="420" t="e">
        <f>N27/IS!N71</f>
        <v>#DIV/0!</v>
      </c>
      <c r="O28" s="420" t="e">
        <f>O27/IS!O71</f>
        <v>#DIV/0!</v>
      </c>
      <c r="P28" s="420" t="e">
        <f>P27/IS!P71</f>
        <v>#DIV/0!</v>
      </c>
      <c r="Q28" s="420" t="e">
        <f>Q27/IS!Q71</f>
        <v>#DIV/0!</v>
      </c>
      <c r="R28" s="420" t="e">
        <f>R27/IS!R71</f>
        <v>#DIV/0!</v>
      </c>
      <c r="S28" s="420" t="e">
        <f>S27/IS!S71</f>
        <v>#DIV/0!</v>
      </c>
    </row>
    <row r="29" spans="3:19" ht="23.25" customHeight="1"/>
  </sheetData>
  <phoneticPr fontId="3" type="noConversion"/>
  <printOptions horizontalCentered="1"/>
  <pageMargins left="0.27" right="0.28000000000000003" top="0.56999999999999995" bottom="0.35433070866141736" header="0.23622047244094491" footer="0.19685039370078741"/>
  <pageSetup scale="60" orientation="landscape" r:id="rId1"/>
  <headerFooter alignWithMargins="0">
    <oddFooter>&amp;R&amp;8&amp;F  &amp;A
&amp;D</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8E004AB5DACC946B9DF68C3C2C54DFD" ma:contentTypeVersion="13" ma:contentTypeDescription="Create a new document." ma:contentTypeScope="" ma:versionID="441834e100064e8f68ddf7c2b3aeda2b">
  <xsd:schema xmlns:xsd="http://www.w3.org/2001/XMLSchema" xmlns:xs="http://www.w3.org/2001/XMLSchema" xmlns:p="http://schemas.microsoft.com/office/2006/metadata/properties" xmlns:ns2="29dfc1a8-b777-4321-a74f-896313141591" xmlns:ns3="4c99e0e0-a7ff-498c-a891-888aae3c0d40" targetNamespace="http://schemas.microsoft.com/office/2006/metadata/properties" ma:root="true" ma:fieldsID="9fa7b2af52a58578d1f52741523c745f" ns2:_="" ns3:_="">
    <xsd:import namespace="29dfc1a8-b777-4321-a74f-896313141591"/>
    <xsd:import namespace="4c99e0e0-a7ff-498c-a891-888aae3c0d4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3:SharedWithUsers" minOccurs="0"/>
                <xsd:element ref="ns3:SharedWithDetails" minOccurs="0"/>
                <xsd:element ref="ns2:MediaServiceDateTaken" minOccurs="0"/>
                <xsd:element ref="ns2:MediaServiceLocation" minOccurs="0"/>
                <xsd:element ref="ns2:MediaServiceGenerationTime" minOccurs="0"/>
                <xsd:element ref="ns2:MediaServiceEventHashCode" minOccurs="0"/>
                <xsd:element ref="ns2:MediaServiceAutoKeyPoints" minOccurs="0"/>
                <xsd:element ref="ns2:MediaServiceKeyPoint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9dfc1a8-b777-4321-a74f-89631314159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c99e0e0-a7ff-498c-a891-888aae3c0d40"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02DA194-CC23-441A-978A-8DD18DB8510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9dfc1a8-b777-4321-a74f-896313141591"/>
    <ds:schemaRef ds:uri="4c99e0e0-a7ff-498c-a891-888aae3c0d4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D9EEB79-70CA-4A48-97BA-E7C7EB867163}">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0F2CEF30-2F7B-4709-AC7A-A06F44F528D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12</vt:i4>
      </vt:variant>
      <vt:variant>
        <vt:lpstr>Intervalos Nomeados</vt:lpstr>
      </vt:variant>
      <vt:variant>
        <vt:i4>12</vt:i4>
      </vt:variant>
    </vt:vector>
  </HeadingPairs>
  <TitlesOfParts>
    <vt:vector size="24" baseType="lpstr">
      <vt:lpstr>Dashboard</vt:lpstr>
      <vt:lpstr>Assumptions</vt:lpstr>
      <vt:lpstr>Land Sales and Purchase</vt:lpstr>
      <vt:lpstr>Production</vt:lpstr>
      <vt:lpstr>Revenue</vt:lpstr>
      <vt:lpstr>Costs</vt:lpstr>
      <vt:lpstr>WC</vt:lpstr>
      <vt:lpstr>IS</vt:lpstr>
      <vt:lpstr>NOPAT</vt:lpstr>
      <vt:lpstr>Valuation</vt:lpstr>
      <vt:lpstr>BS</vt:lpstr>
      <vt:lpstr>Indicators</vt:lpstr>
      <vt:lpstr>Assumptions!Area_de_impressao</vt:lpstr>
      <vt:lpstr>NOPAT!Area_de_impressao</vt:lpstr>
      <vt:lpstr>Revenue!Area_de_impressao</vt:lpstr>
      <vt:lpstr>Valuation!Area_de_impressao</vt:lpstr>
      <vt:lpstr>Assumptions!Titulos_de_impressao</vt:lpstr>
      <vt:lpstr>BS!Titulos_de_impressao</vt:lpstr>
      <vt:lpstr>Costs!Titulos_de_impressao</vt:lpstr>
      <vt:lpstr>IS!Titulos_de_impressao</vt:lpstr>
      <vt:lpstr>'Land Sales and Purchase'!Titulos_de_impressao</vt:lpstr>
      <vt:lpstr>Production!Titulos_de_impressao</vt:lpstr>
      <vt:lpstr>Revenue!Titulos_de_impressao</vt:lpstr>
      <vt:lpstr>WC!Titulos_de_impressao</vt:lpstr>
    </vt:vector>
  </TitlesOfParts>
  <Company>Home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Diego Garcia - SLC Agrícola</dc:creator>
  <cp:lastModifiedBy>Stefano Bing - SLC Agrícola</cp:lastModifiedBy>
  <cp:lastPrinted>2016-03-17T11:52:41Z</cp:lastPrinted>
  <dcterms:created xsi:type="dcterms:W3CDTF">2012-04-02T21:44:10Z</dcterms:created>
  <dcterms:modified xsi:type="dcterms:W3CDTF">2022-07-20T19:16:07Z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0x01010038E004AB5DACC946B9DF68C3C2C54DFD</vt:lpwstr>
  </property>
</Properties>
</file>